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PDC\AreaDoc\nicola-tomezzoli\2019\INDICATORE TEMPESTIVITA' DEI PAGMENTI\III trimestre\"/>
    </mc:Choice>
  </mc:AlternateContent>
  <xr:revisionPtr revIDLastSave="0" documentId="13_ncr:40009_{9D3D45C4-8200-4DEF-AB27-E68D6F2C3DCF}" xr6:coauthVersionLast="45" xr6:coauthVersionMax="45" xr10:uidLastSave="{00000000-0000-0000-0000-000000000000}"/>
  <bookViews>
    <workbookView xWindow="-120" yWindow="-120" windowWidth="19440" windowHeight="15000"/>
  </bookViews>
  <sheets>
    <sheet name="L_RIT" sheetId="1" r:id="rId1"/>
  </sheets>
  <definedNames>
    <definedName name="_xlnm.Print_Titles" localSheetId="0">L_RIT!$1:$1</definedName>
  </definedNames>
  <calcPr calcId="0"/>
</workbook>
</file>

<file path=xl/calcChain.xml><?xml version="1.0" encoding="utf-8"?>
<calcChain xmlns="http://schemas.openxmlformats.org/spreadsheetml/2006/main">
  <c r="M188" i="1" l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N7" i="1"/>
  <c r="N8" i="1"/>
  <c r="N9" i="1"/>
  <c r="O9" i="1" s="1"/>
  <c r="N10" i="1"/>
  <c r="O10" i="1" s="1"/>
  <c r="N11" i="1"/>
  <c r="O11" i="1" s="1"/>
  <c r="N12" i="1"/>
  <c r="O12" i="1" s="1"/>
  <c r="N13" i="1"/>
  <c r="O13" i="1" s="1"/>
  <c r="N14" i="1"/>
  <c r="N3" i="1"/>
  <c r="N4" i="1"/>
  <c r="O4" i="1" s="1"/>
  <c r="N5" i="1"/>
  <c r="O5" i="1" s="1"/>
  <c r="N6" i="1"/>
  <c r="O6" i="1" s="1"/>
  <c r="N2" i="1"/>
  <c r="O3" i="1"/>
  <c r="O7" i="1"/>
  <c r="O8" i="1"/>
  <c r="O2" i="1"/>
  <c r="D7" i="1"/>
  <c r="D8" i="1"/>
  <c r="D10" i="1"/>
  <c r="D11" i="1"/>
  <c r="D15" i="1"/>
  <c r="D16" i="1"/>
  <c r="D19" i="1"/>
  <c r="D29" i="1"/>
  <c r="D30" i="1"/>
  <c r="D31" i="1"/>
  <c r="D33" i="1"/>
  <c r="D63" i="1"/>
  <c r="D66" i="1"/>
  <c r="D67" i="1"/>
  <c r="D68" i="1"/>
  <c r="D69" i="1"/>
  <c r="D71" i="1"/>
  <c r="D72" i="1"/>
  <c r="D73" i="1"/>
  <c r="D74" i="1"/>
  <c r="D75" i="1"/>
  <c r="D76" i="1"/>
  <c r="D79" i="1"/>
  <c r="D80" i="1"/>
  <c r="D81" i="1"/>
  <c r="D83" i="1"/>
  <c r="D84" i="1"/>
  <c r="D85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20" i="1"/>
  <c r="D121" i="1"/>
  <c r="D123" i="1"/>
  <c r="D124" i="1"/>
  <c r="D128" i="1"/>
  <c r="D129" i="1"/>
  <c r="D130" i="1"/>
  <c r="D133" i="1"/>
  <c r="D134" i="1"/>
  <c r="D135" i="1"/>
  <c r="D136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2" i="1"/>
  <c r="D156" i="1"/>
  <c r="D166" i="1"/>
  <c r="D170" i="1"/>
  <c r="D174" i="1"/>
  <c r="D176" i="1"/>
  <c r="D177" i="1"/>
  <c r="D184" i="1"/>
  <c r="D187" i="1"/>
  <c r="O188" i="1" l="1"/>
  <c r="N188" i="1" s="1"/>
</calcChain>
</file>

<file path=xl/sharedStrings.xml><?xml version="1.0" encoding="utf-8"?>
<sst xmlns="http://schemas.openxmlformats.org/spreadsheetml/2006/main" count="859" uniqueCount="210">
  <si>
    <t>Beneficiario</t>
  </si>
  <si>
    <t>Data mandato</t>
  </si>
  <si>
    <t>Num. fattura</t>
  </si>
  <si>
    <t>Data fattura</t>
  </si>
  <si>
    <t>Nr.bolletta .</t>
  </si>
  <si>
    <t>Nr.carta cont.</t>
  </si>
  <si>
    <t>Data pagamento</t>
  </si>
  <si>
    <t>Data scadenza</t>
  </si>
  <si>
    <t>Data rif.(#)</t>
  </si>
  <si>
    <t>Importo</t>
  </si>
  <si>
    <t>Iva split</t>
  </si>
  <si>
    <t>Netto</t>
  </si>
  <si>
    <t>GG diff.</t>
  </si>
  <si>
    <t>Prodotto</t>
  </si>
  <si>
    <t>Stato MEF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</si>
  <si>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</si>
  <si>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MULTIUTILITY SPA</t>
  </si>
  <si>
    <t>34813/G</t>
  </si>
  <si>
    <t>S</t>
  </si>
  <si>
    <t>Liquidato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</si>
  <si>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</si>
  <si>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38826/G</t>
  </si>
  <si>
    <t>42520/G</t>
  </si>
  <si>
    <t>45839/G</t>
  </si>
  <si>
    <t>48936/G</t>
  </si>
  <si>
    <t>DOLOMITI ENERGIA SPA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</si>
  <si>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</si>
  <si>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POSTE ITALIANE SPA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</si>
  <si>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</si>
  <si>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BEZZETTO LUCA</t>
  </si>
  <si>
    <t>8/001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</si>
  <si>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</si>
  <si>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DIREZ.PROV.PP.TT.-RAGIONER.PROV.MACCHINE AFFRANCATRICE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</si>
  <si>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</si>
  <si>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TERMOIDRAULICA ZONZINI PIETRO SRL</t>
  </si>
  <si>
    <t>9/PA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</si>
  <si>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</si>
  <si>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ANTICIMEX SRL</t>
  </si>
  <si>
    <t>1192PA</t>
  </si>
  <si>
    <t>LADE s.r.l.</t>
  </si>
  <si>
    <t>0000025/PA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</si>
  <si>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</si>
  <si>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PERONI MICHELE</t>
  </si>
  <si>
    <t>Sodexo Italia S.p.A.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</si>
  <si>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</si>
  <si>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GEM SNC DI GROSSI GALEAZZO E C.</t>
  </si>
  <si>
    <t>002812/V1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</si>
  <si>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</si>
  <si>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FONDAZIONE GIOVANNI MERITANI</t>
  </si>
  <si>
    <t>73/E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</si>
  <si>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</si>
  <si>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GESTORE DEI SERVIZI ELETTRICI SPA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</si>
  <si>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</si>
  <si>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NUOVA TERMOTECNICA DI TURAZZA P.I. SIMONE</t>
  </si>
  <si>
    <t>FPA 7/19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</si>
  <si>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</si>
  <si>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GLOBAL POWER SPA</t>
  </si>
  <si>
    <t>V0/91988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</si>
  <si>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</si>
  <si>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V0/91987</t>
  </si>
  <si>
    <t>V0/91989</t>
  </si>
  <si>
    <t>V0/91991</t>
  </si>
  <si>
    <t>V0/91986</t>
  </si>
  <si>
    <t>V0/91993</t>
  </si>
  <si>
    <t>V0/91990</t>
  </si>
  <si>
    <t>V0/91992</t>
  </si>
  <si>
    <t>GLOBAL POWER SERVICE SPA</t>
  </si>
  <si>
    <t>2019-V5-187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</si>
  <si>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</si>
  <si>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POSTEL SPA</t>
  </si>
  <si>
    <t>CONSORZIO ENERGIA VENETO</t>
  </si>
  <si>
    <t>1000-2019-01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</si>
  <si>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</si>
  <si>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1018-2019-01</t>
  </si>
  <si>
    <t>1006-2019-01</t>
  </si>
  <si>
    <t>AGRIVERDE</t>
  </si>
  <si>
    <t>5/PA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</si>
  <si>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</si>
  <si>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ARENA ASCENSORI S.R.L.</t>
  </si>
  <si>
    <t>000109/19/PA</t>
  </si>
  <si>
    <t>V0/127410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</si>
  <si>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</si>
  <si>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V0/127404</t>
  </si>
  <si>
    <t>V0/127407</t>
  </si>
  <si>
    <t>V0/127403</t>
  </si>
  <si>
    <t>V0/127406</t>
  </si>
  <si>
    <t>V0/127408</t>
  </si>
  <si>
    <t>V0/127402</t>
  </si>
  <si>
    <t>V0/127409</t>
  </si>
  <si>
    <t>V0/127411</t>
  </si>
  <si>
    <t>V0/127412</t>
  </si>
  <si>
    <t>V0/127405</t>
  </si>
  <si>
    <t>V0/109114</t>
  </si>
  <si>
    <t>V0/109117</t>
  </si>
  <si>
    <t>V0/109113</t>
  </si>
  <si>
    <t>V0/109119</t>
  </si>
  <si>
    <t>V0/109121</t>
  </si>
  <si>
    <t>V0/109116</t>
  </si>
  <si>
    <t>V0/109115</t>
  </si>
  <si>
    <t>V0/109122</t>
  </si>
  <si>
    <t>V0/109120</t>
  </si>
  <si>
    <t>V0/109123</t>
  </si>
  <si>
    <t>V0/109118</t>
  </si>
  <si>
    <t>LIVE SRL</t>
  </si>
  <si>
    <t>FV19/0392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</si>
  <si>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</si>
  <si>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FONDAZIONE DISCANTO</t>
  </si>
  <si>
    <t>FPA 3/19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</si>
  <si>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</si>
  <si>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SICONTRAF S.R.L.</t>
  </si>
  <si>
    <t>144/PA</t>
  </si>
  <si>
    <t>I.C.E.A.M. SRL</t>
  </si>
  <si>
    <t>2019    56/E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</si>
  <si>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</si>
  <si>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NOMODIDATTICA S.R.L.</t>
  </si>
  <si>
    <t>ELMA ASCENSORI S.P.A.</t>
  </si>
  <si>
    <t>2019-V5-152</t>
  </si>
  <si>
    <t>MAGGIOLI S.P.A.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</si>
  <si>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</si>
  <si>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LEGGERE SRL</t>
  </si>
  <si>
    <t>C.A.M.V.O. S.p.A.</t>
  </si>
  <si>
    <t>RETE FERROVIARIA ITALIANA S.p.A.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</si>
  <si>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</si>
  <si>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V0/91985</t>
  </si>
  <si>
    <t>7/PA</t>
  </si>
  <si>
    <t>0000028/PA</t>
  </si>
  <si>
    <t>STUDIO DI ARCHITETTURA ALBERTO SARTORI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</si>
  <si>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</si>
  <si>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VERDEARANCIO SOCIETA'COOPERATIVA SOCIALE -ONLUS</t>
  </si>
  <si>
    <t>27/19/PA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</si>
  <si>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</si>
  <si>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2019-V5-166</t>
  </si>
  <si>
    <t>1360PA</t>
  </si>
  <si>
    <t>WELCOME ITALIA SPA</t>
  </si>
  <si>
    <t>BIESSE S.N.C.</t>
  </si>
  <si>
    <t>MUNICIPIA S.P.A.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</si>
  <si>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</si>
  <si>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PUBBLIUNO S.R.L.</t>
  </si>
  <si>
    <t>6/PA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</si>
  <si>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</si>
  <si>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VETRERIA BERSAN DI BERSAN EMANUELE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</si>
  <si>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</si>
  <si>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23/19/PA</t>
  </si>
  <si>
    <t>0000022/PA</t>
  </si>
  <si>
    <t>0000021/PA</t>
  </si>
  <si>
    <t>2019-V5-142</t>
  </si>
  <si>
    <t>FINATO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</si>
  <si>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</si>
  <si>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A.N.U.S.C.A. SRL</t>
  </si>
  <si>
    <t>003072/V1</t>
  </si>
  <si>
    <t>KYOCERA DOCUMENT SOLUTIONS ITALIA S.P.A.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</si>
  <si>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</si>
  <si>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EASY SERVER SRL</t>
  </si>
  <si>
    <t>ITLINE 83 SRL</t>
  </si>
  <si>
    <t>37/2019</t>
  </si>
  <si>
    <t>FERRO SRL</t>
  </si>
  <si>
    <t>A.T. SERVICE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</si>
  <si>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</si>
  <si>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SOLUZIONE SRL</t>
  </si>
  <si>
    <t>SIVE S.R.L.</t>
  </si>
  <si>
    <t>2019    90/E</t>
  </si>
  <si>
    <t>GEA ASSOCIAZ. EDUCAZIONE AMBIENTALE ONLUS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</si>
  <si>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</si>
  <si>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GRAFICHE E.GASPARI SRL</t>
  </si>
  <si>
    <t>06135/S</t>
  </si>
  <si>
    <t>2019    74/E</t>
  </si>
  <si>
    <t>ARUBA S.P.A.</t>
  </si>
  <si>
    <t>19PAMS0001367</t>
  </si>
  <si>
    <t>776-2019-01</t>
  </si>
  <si>
    <t>749-2019-01</t>
  </si>
  <si>
    <t>803-2019-01</t>
  </si>
  <si>
    <t>FONDAZIONE MADONNA DI LOURDES ONLUS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</si>
  <si>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</si>
  <si>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19PAMS0001148</t>
  </si>
  <si>
    <t>ACCATRE-STP Professionisti Enti Pubblici SRL</t>
  </si>
  <si>
    <t>190592/1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</si>
  <si>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</si>
  <si>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IL PONTE SOCIETA' COOPERATIVA SOCIALE O.N.L.U.S.</t>
  </si>
  <si>
    <t>2019    96/E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</si>
  <si>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</si>
  <si>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CONSORZIO EUROBUS VERONA SOC. COOP.</t>
  </si>
  <si>
    <t>435/FE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</si>
  <si>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</si>
  <si>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190571/1</t>
  </si>
  <si>
    <t>2019    59/E</t>
  </si>
  <si>
    <t>ACCATRE S.R.L.</t>
  </si>
  <si>
    <t>190944/1</t>
  </si>
  <si>
    <t>2019   125/E</t>
  </si>
  <si>
    <t>21/19/PA</t>
  </si>
  <si>
    <t>HALLEY VENETO S.R.L.</t>
  </si>
  <si>
    <t>1/190935</t>
  </si>
  <si>
    <t>ENERGIE SOCIALI COOPERATIVA SOCIALE ONLUS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</si>
  <si>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</si>
  <si>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65/E</t>
  </si>
  <si>
    <t>77/E</t>
  </si>
  <si>
    <t>83/E</t>
  </si>
  <si>
    <t>81/E</t>
  </si>
  <si>
    <t>TIM S.P.A.</t>
  </si>
  <si>
    <t>8E00666258</t>
  </si>
  <si>
    <t>60/E</t>
  </si>
  <si>
    <t>ADDICALCO LOGISTICA SRL</t>
  </si>
  <si>
    <t>570/00002</t>
  </si>
  <si>
    <t>1/191145</t>
  </si>
  <si>
    <t>WOLTERS KLUVER ITALIA SRL LEGGI D'ITALIA</t>
  </si>
  <si>
    <t>* RISULTATO 3o TRIMESTRE *</t>
  </si>
  <si>
    <t>***************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</si>
  <si>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</si>
  <si>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Mand.</t>
  </si>
  <si>
    <t>3-56</t>
  </si>
  <si>
    <t>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</si>
</sst>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18" fillId="0" borderId="0" xfId="0" applyFont="1"/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14" fontId="18" fillId="0" borderId="10" xfId="0" applyNumberFormat="1" applyFont="1" applyBorder="1" applyAlignment="1">
      <alignment vertical="center" wrapText="1"/>
    </xf>
    <xf numFmtId="4" fontId="18" fillId="0" borderId="10" xfId="0" applyNumberFormat="1" applyFont="1" applyBorder="1" applyAlignment="1">
      <alignment vertical="center" wrapText="1"/>
    </xf>
    <xf numFmtId="4" fontId="18" fillId="0" borderId="15" xfId="0" applyNumberFormat="1" applyFont="1" applyBorder="1" applyAlignment="1">
      <alignment vertical="center" wrapText="1"/>
    </xf>
    <xf numFmtId="4" fontId="18" fillId="0" borderId="0" xfId="0" applyNumberFormat="1" applyFont="1" applyAlignment="1">
      <alignment vertical="center" wrapText="1"/>
    </xf>
    <xf numFmtId="4" fontId="18" fillId="33" borderId="0" xfId="0" applyNumberFormat="1" applyFont="1" applyFill="1" applyAlignment="1">
      <alignment vertical="center" wrapText="1"/>
    </xf>
    <xf numFmtId="11" fontId="18" fillId="0" borderId="10" xfId="0" applyNumberFormat="1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4" fontId="18" fillId="0" borderId="17" xfId="0" applyNumberFormat="1" applyFont="1" applyBorder="1" applyAlignment="1">
      <alignment vertical="center" wrapText="1"/>
    </xf>
    <xf numFmtId="43" fontId="19" fillId="0" borderId="17" xfId="1" applyFont="1" applyBorder="1" applyAlignment="1">
      <alignment vertical="center" wrapText="1"/>
    </xf>
    <xf numFmtId="4" fontId="18" fillId="0" borderId="18" xfId="0" applyNumberFormat="1" applyFont="1" applyBorder="1" applyAlignment="1">
      <alignment vertical="center" wrapText="1"/>
    </xf>
    <xf numFmtId="17" fontId="18" fillId="0" borderId="10" xfId="0" quotePrefix="1" applyNumberFormat="1" applyFont="1" applyBorder="1" applyAlignment="1">
      <alignment vertical="center" wrapText="1"/>
    </xf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8"/>
  <sheetViews>
    <sheetView tabSelected="1" workbookViewId="0">
      <pane ySplit="1" topLeftCell="A2" activePane="bottomLeft" state="frozen"/>
      <selection pane="bottomLeft" activeCell="O188" sqref="A1:O188"/>
    </sheetView>
  </sheetViews>
  <sheetFormatPr defaultRowHeight="12.75" x14ac:dyDescent="0.2"/>
  <cols>
    <col min="1" max="1" width="35.85546875" style="1" customWidth="1"/>
    <col min="2" max="2" width="6" style="1" bestFit="1" customWidth="1"/>
    <col min="3" max="3" width="10.7109375" style="1" customWidth="1"/>
    <col min="4" max="4" width="15.42578125" style="1" customWidth="1"/>
    <col min="5" max="5" width="10.42578125" style="1" bestFit="1" customWidth="1"/>
    <col min="6" max="7" width="0" style="1" hidden="1" customWidth="1"/>
    <col min="8" max="9" width="10.42578125" style="1" bestFit="1" customWidth="1"/>
    <col min="10" max="10" width="0" style="1" hidden="1" customWidth="1"/>
    <col min="11" max="11" width="10.140625" style="1" hidden="1" customWidth="1"/>
    <col min="12" max="12" width="0" style="1" hidden="1" customWidth="1"/>
    <col min="13" max="13" width="9.85546875" style="1" bestFit="1" customWidth="1"/>
    <col min="14" max="14" width="7.85546875" style="1" bestFit="1" customWidth="1"/>
    <col min="15" max="15" width="12.85546875" style="1" bestFit="1" customWidth="1"/>
    <col min="16" max="16" width="9.140625" style="1" hidden="1" customWidth="1"/>
    <col min="17" max="17" width="10.7109375" style="1" hidden="1" customWidth="1"/>
    <col min="18" max="16384" width="9.140625" style="1"/>
  </cols>
  <sheetData>
    <row r="1" spans="1:18" s="5" customFormat="1" ht="25.5" x14ac:dyDescent="0.25">
      <c r="A1" s="2" t="s">
        <v>0</v>
      </c>
      <c r="B1" s="3" t="s">
        <v>207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4" t="s">
        <v>13</v>
      </c>
      <c r="P1" s="5" t="s">
        <v>14</v>
      </c>
      <c r="R1" s="5" t="s">
        <v>15</v>
      </c>
    </row>
    <row r="2" spans="1:18" s="5" customFormat="1" x14ac:dyDescent="0.25">
      <c r="A2" s="6" t="s">
        <v>16</v>
      </c>
      <c r="B2" s="7">
        <v>1452</v>
      </c>
      <c r="C2" s="8">
        <v>43722</v>
      </c>
      <c r="D2" s="7" t="s">
        <v>17</v>
      </c>
      <c r="E2" s="8">
        <v>42235</v>
      </c>
      <c r="F2" s="7">
        <v>0</v>
      </c>
      <c r="G2" s="7">
        <v>0</v>
      </c>
      <c r="H2" s="8">
        <v>43724</v>
      </c>
      <c r="I2" s="8">
        <v>42255</v>
      </c>
      <c r="J2" s="7" t="s">
        <v>18</v>
      </c>
      <c r="K2" s="7">
        <v>10.64</v>
      </c>
      <c r="L2" s="7">
        <v>1.51</v>
      </c>
      <c r="M2" s="7">
        <v>9.1300000000000008</v>
      </c>
      <c r="N2" s="9">
        <f>+H2-I2</f>
        <v>1469</v>
      </c>
      <c r="O2" s="10">
        <f>+N2*M2</f>
        <v>13411.970000000001</v>
      </c>
      <c r="P2" s="5" t="s">
        <v>19</v>
      </c>
      <c r="Q2" s="11"/>
      <c r="R2" s="5" t="s">
        <v>20</v>
      </c>
    </row>
    <row r="3" spans="1:18" s="5" customFormat="1" x14ac:dyDescent="0.25">
      <c r="A3" s="6" t="s">
        <v>16</v>
      </c>
      <c r="B3" s="7">
        <v>1452</v>
      </c>
      <c r="C3" s="8">
        <v>43722</v>
      </c>
      <c r="D3" s="7" t="s">
        <v>21</v>
      </c>
      <c r="E3" s="8">
        <v>42264</v>
      </c>
      <c r="F3" s="7">
        <v>0</v>
      </c>
      <c r="G3" s="7">
        <v>0</v>
      </c>
      <c r="H3" s="8">
        <v>43724</v>
      </c>
      <c r="I3" s="8">
        <v>42284</v>
      </c>
      <c r="J3" s="7" t="s">
        <v>18</v>
      </c>
      <c r="K3" s="7">
        <v>10.63</v>
      </c>
      <c r="L3" s="7">
        <v>1.51</v>
      </c>
      <c r="M3" s="7">
        <v>9.1199999999999992</v>
      </c>
      <c r="N3" s="9">
        <f t="shared" ref="N3:N14" si="0">+H3-I3</f>
        <v>1440</v>
      </c>
      <c r="O3" s="10">
        <f t="shared" ref="O3:O66" si="1">+N3*M3</f>
        <v>13132.8</v>
      </c>
      <c r="P3" s="5" t="s">
        <v>19</v>
      </c>
      <c r="Q3" s="11"/>
      <c r="R3" s="5" t="s">
        <v>20</v>
      </c>
    </row>
    <row r="4" spans="1:18" s="5" customFormat="1" x14ac:dyDescent="0.25">
      <c r="A4" s="6" t="s">
        <v>16</v>
      </c>
      <c r="B4" s="7">
        <v>1452</v>
      </c>
      <c r="C4" s="8">
        <v>43722</v>
      </c>
      <c r="D4" s="7" t="s">
        <v>22</v>
      </c>
      <c r="E4" s="8">
        <v>42297</v>
      </c>
      <c r="F4" s="7">
        <v>0</v>
      </c>
      <c r="G4" s="7">
        <v>0</v>
      </c>
      <c r="H4" s="8">
        <v>43724</v>
      </c>
      <c r="I4" s="8">
        <v>42317</v>
      </c>
      <c r="J4" s="7" t="s">
        <v>18</v>
      </c>
      <c r="K4" s="7">
        <v>11.4</v>
      </c>
      <c r="L4" s="7">
        <v>1.58</v>
      </c>
      <c r="M4" s="7">
        <v>9.82</v>
      </c>
      <c r="N4" s="9">
        <f t="shared" si="0"/>
        <v>1407</v>
      </c>
      <c r="O4" s="10">
        <f t="shared" si="1"/>
        <v>13816.74</v>
      </c>
      <c r="P4" s="5" t="s">
        <v>19</v>
      </c>
      <c r="Q4" s="11"/>
      <c r="R4" s="5" t="s">
        <v>20</v>
      </c>
    </row>
    <row r="5" spans="1:18" s="5" customFormat="1" x14ac:dyDescent="0.25">
      <c r="A5" s="6" t="s">
        <v>16</v>
      </c>
      <c r="B5" s="7">
        <v>1452</v>
      </c>
      <c r="C5" s="8">
        <v>43722</v>
      </c>
      <c r="D5" s="7" t="s">
        <v>23</v>
      </c>
      <c r="E5" s="8">
        <v>42327</v>
      </c>
      <c r="F5" s="7">
        <v>0</v>
      </c>
      <c r="G5" s="7">
        <v>0</v>
      </c>
      <c r="H5" s="8">
        <v>43724</v>
      </c>
      <c r="I5" s="8">
        <v>42347</v>
      </c>
      <c r="J5" s="7" t="s">
        <v>18</v>
      </c>
      <c r="K5" s="7">
        <v>25.81</v>
      </c>
      <c r="L5" s="7">
        <v>3.25</v>
      </c>
      <c r="M5" s="7">
        <v>22.56</v>
      </c>
      <c r="N5" s="9">
        <f t="shared" si="0"/>
        <v>1377</v>
      </c>
      <c r="O5" s="10">
        <f t="shared" si="1"/>
        <v>31065.119999999999</v>
      </c>
      <c r="P5" s="5" t="s">
        <v>19</v>
      </c>
      <c r="Q5" s="11"/>
      <c r="R5" s="5" t="s">
        <v>20</v>
      </c>
    </row>
    <row r="6" spans="1:18" s="5" customFormat="1" x14ac:dyDescent="0.25">
      <c r="A6" s="6" t="s">
        <v>16</v>
      </c>
      <c r="B6" s="7">
        <v>1452</v>
      </c>
      <c r="C6" s="8">
        <v>43722</v>
      </c>
      <c r="D6" s="7" t="s">
        <v>24</v>
      </c>
      <c r="E6" s="8">
        <v>42359</v>
      </c>
      <c r="F6" s="7">
        <v>0</v>
      </c>
      <c r="G6" s="7">
        <v>0</v>
      </c>
      <c r="H6" s="8">
        <v>43724</v>
      </c>
      <c r="I6" s="8">
        <v>42380</v>
      </c>
      <c r="J6" s="7" t="s">
        <v>18</v>
      </c>
      <c r="K6" s="7">
        <v>46.6</v>
      </c>
      <c r="L6" s="7">
        <v>5.14</v>
      </c>
      <c r="M6" s="7">
        <v>41.46</v>
      </c>
      <c r="N6" s="9">
        <f t="shared" si="0"/>
        <v>1344</v>
      </c>
      <c r="O6" s="10">
        <f t="shared" si="1"/>
        <v>55722.239999999998</v>
      </c>
      <c r="P6" s="5" t="s">
        <v>19</v>
      </c>
      <c r="Q6" s="11"/>
      <c r="R6" s="5" t="s">
        <v>20</v>
      </c>
    </row>
    <row r="7" spans="1:18" s="5" customFormat="1" x14ac:dyDescent="0.25">
      <c r="A7" s="6" t="s">
        <v>25</v>
      </c>
      <c r="B7" s="7">
        <v>1429</v>
      </c>
      <c r="C7" s="8">
        <v>43693</v>
      </c>
      <c r="D7" s="7" t="str">
        <f>"41804783298"</f>
        <v>41804783298</v>
      </c>
      <c r="E7" s="8">
        <v>43454</v>
      </c>
      <c r="F7" s="7">
        <v>0</v>
      </c>
      <c r="G7" s="7">
        <v>0</v>
      </c>
      <c r="H7" s="8">
        <v>43693</v>
      </c>
      <c r="I7" s="8">
        <v>43474</v>
      </c>
      <c r="J7" s="7" t="s">
        <v>18</v>
      </c>
      <c r="K7" s="7">
        <v>209.01</v>
      </c>
      <c r="L7" s="7">
        <v>37.69</v>
      </c>
      <c r="M7" s="7">
        <v>171.32</v>
      </c>
      <c r="N7" s="9">
        <f t="shared" si="0"/>
        <v>219</v>
      </c>
      <c r="O7" s="10">
        <f t="shared" si="1"/>
        <v>37519.08</v>
      </c>
      <c r="P7" s="5" t="s">
        <v>19</v>
      </c>
      <c r="Q7" s="11"/>
      <c r="R7" s="5" t="s">
        <v>26</v>
      </c>
    </row>
    <row r="8" spans="1:18" s="5" customFormat="1" x14ac:dyDescent="0.25">
      <c r="A8" s="6" t="s">
        <v>27</v>
      </c>
      <c r="B8" s="7">
        <v>1576</v>
      </c>
      <c r="C8" s="8">
        <v>43736</v>
      </c>
      <c r="D8" s="7" t="str">
        <f>"8719082637"</f>
        <v>8719082637</v>
      </c>
      <c r="E8" s="8">
        <v>43545</v>
      </c>
      <c r="F8" s="7">
        <v>0</v>
      </c>
      <c r="G8" s="7">
        <v>0</v>
      </c>
      <c r="H8" s="8">
        <v>43736</v>
      </c>
      <c r="I8" s="8">
        <v>43575</v>
      </c>
      <c r="J8" s="7" t="s">
        <v>18</v>
      </c>
      <c r="K8" s="7">
        <v>370.97</v>
      </c>
      <c r="L8" s="7">
        <v>0</v>
      </c>
      <c r="M8" s="7">
        <v>370.97</v>
      </c>
      <c r="N8" s="9">
        <f t="shared" si="0"/>
        <v>161</v>
      </c>
      <c r="O8" s="10">
        <f t="shared" si="1"/>
        <v>59726.170000000006</v>
      </c>
      <c r="P8" s="5" t="s">
        <v>19</v>
      </c>
      <c r="Q8" s="11"/>
      <c r="R8" s="5" t="s">
        <v>28</v>
      </c>
    </row>
    <row r="9" spans="1:18" s="5" customFormat="1" x14ac:dyDescent="0.25">
      <c r="A9" s="6" t="s">
        <v>29</v>
      </c>
      <c r="B9" s="7">
        <v>1151</v>
      </c>
      <c r="C9" s="8">
        <v>43664</v>
      </c>
      <c r="D9" s="7" t="s">
        <v>30</v>
      </c>
      <c r="E9" s="8">
        <v>43598</v>
      </c>
      <c r="F9" s="7">
        <v>0</v>
      </c>
      <c r="G9" s="7">
        <v>0</v>
      </c>
      <c r="H9" s="8">
        <v>43664</v>
      </c>
      <c r="I9" s="8">
        <v>43628</v>
      </c>
      <c r="J9" s="7" t="s">
        <v>18</v>
      </c>
      <c r="K9" s="9">
        <v>29423.47</v>
      </c>
      <c r="L9" s="7">
        <v>0</v>
      </c>
      <c r="M9" s="9">
        <v>29423.47</v>
      </c>
      <c r="N9" s="9">
        <f t="shared" si="0"/>
        <v>36</v>
      </c>
      <c r="O9" s="10">
        <f t="shared" si="1"/>
        <v>1059244.92</v>
      </c>
      <c r="P9" s="5" t="s">
        <v>19</v>
      </c>
      <c r="Q9" s="12"/>
      <c r="R9" s="5" t="s">
        <v>31</v>
      </c>
    </row>
    <row r="10" spans="1:18" s="5" customFormat="1" ht="25.5" x14ac:dyDescent="0.25">
      <c r="A10" s="6" t="s">
        <v>32</v>
      </c>
      <c r="B10" s="7">
        <v>1295</v>
      </c>
      <c r="C10" s="8">
        <v>43677</v>
      </c>
      <c r="D10" s="7" t="str">
        <f>"8019081400"</f>
        <v>8019081400</v>
      </c>
      <c r="E10" s="8">
        <v>43628</v>
      </c>
      <c r="F10" s="7">
        <v>0</v>
      </c>
      <c r="G10" s="7">
        <v>0</v>
      </c>
      <c r="H10" s="8">
        <v>43677</v>
      </c>
      <c r="I10" s="8">
        <v>43658</v>
      </c>
      <c r="J10" s="7" t="s">
        <v>18</v>
      </c>
      <c r="K10" s="7">
        <v>12.46</v>
      </c>
      <c r="L10" s="7">
        <v>12.46</v>
      </c>
      <c r="M10" s="7">
        <v>0</v>
      </c>
      <c r="N10" s="9">
        <f t="shared" si="0"/>
        <v>19</v>
      </c>
      <c r="O10" s="10">
        <f t="shared" si="1"/>
        <v>0</v>
      </c>
      <c r="P10" s="5" t="s">
        <v>19</v>
      </c>
      <c r="Q10" s="11"/>
      <c r="R10" s="5" t="s">
        <v>33</v>
      </c>
    </row>
    <row r="11" spans="1:18" s="5" customFormat="1" ht="25.5" x14ac:dyDescent="0.25">
      <c r="A11" s="6" t="s">
        <v>32</v>
      </c>
      <c r="B11" s="7">
        <v>1295</v>
      </c>
      <c r="C11" s="8">
        <v>43677</v>
      </c>
      <c r="D11" s="7" t="str">
        <f>"8019081233"</f>
        <v>8019081233</v>
      </c>
      <c r="E11" s="8">
        <v>43628</v>
      </c>
      <c r="F11" s="7">
        <v>0</v>
      </c>
      <c r="G11" s="7">
        <v>0</v>
      </c>
      <c r="H11" s="8">
        <v>43677</v>
      </c>
      <c r="I11" s="8">
        <v>43658</v>
      </c>
      <c r="J11" s="7" t="s">
        <v>18</v>
      </c>
      <c r="K11" s="7">
        <v>4.43</v>
      </c>
      <c r="L11" s="7">
        <v>4.43</v>
      </c>
      <c r="M11" s="7">
        <v>0</v>
      </c>
      <c r="N11" s="9">
        <f t="shared" si="0"/>
        <v>19</v>
      </c>
      <c r="O11" s="10">
        <f t="shared" si="1"/>
        <v>0</v>
      </c>
      <c r="P11" s="5" t="s">
        <v>19</v>
      </c>
      <c r="Q11" s="11"/>
      <c r="R11" s="5" t="s">
        <v>33</v>
      </c>
    </row>
    <row r="12" spans="1:18" s="5" customFormat="1" x14ac:dyDescent="0.25">
      <c r="A12" s="6" t="s">
        <v>34</v>
      </c>
      <c r="B12" s="7">
        <v>1570</v>
      </c>
      <c r="C12" s="8">
        <v>43727</v>
      </c>
      <c r="D12" s="7" t="s">
        <v>35</v>
      </c>
      <c r="E12" s="8">
        <v>43677</v>
      </c>
      <c r="F12" s="7">
        <v>0</v>
      </c>
      <c r="G12" s="7">
        <v>0</v>
      </c>
      <c r="H12" s="8">
        <v>43727</v>
      </c>
      <c r="I12" s="8">
        <v>43713</v>
      </c>
      <c r="J12" s="7" t="s">
        <v>18</v>
      </c>
      <c r="K12" s="7">
        <v>231.8</v>
      </c>
      <c r="L12" s="7">
        <v>41.8</v>
      </c>
      <c r="M12" s="7">
        <v>190</v>
      </c>
      <c r="N12" s="9">
        <f t="shared" si="0"/>
        <v>14</v>
      </c>
      <c r="O12" s="10">
        <f t="shared" si="1"/>
        <v>2660</v>
      </c>
      <c r="P12" s="5" t="s">
        <v>19</v>
      </c>
      <c r="Q12" s="11"/>
      <c r="R12" s="5" t="s">
        <v>36</v>
      </c>
    </row>
    <row r="13" spans="1:18" s="5" customFormat="1" x14ac:dyDescent="0.25">
      <c r="A13" s="6" t="s">
        <v>37</v>
      </c>
      <c r="B13" s="7">
        <v>1480</v>
      </c>
      <c r="C13" s="8">
        <v>43722</v>
      </c>
      <c r="D13" s="7" t="s">
        <v>38</v>
      </c>
      <c r="E13" s="8">
        <v>43677</v>
      </c>
      <c r="F13" s="7">
        <v>0</v>
      </c>
      <c r="G13" s="7">
        <v>0</v>
      </c>
      <c r="H13" s="8">
        <v>43724</v>
      </c>
      <c r="I13" s="8">
        <v>43712</v>
      </c>
      <c r="J13" s="7" t="s">
        <v>18</v>
      </c>
      <c r="K13" s="7">
        <v>164.7</v>
      </c>
      <c r="L13" s="7">
        <v>29.7</v>
      </c>
      <c r="M13" s="7">
        <v>135</v>
      </c>
      <c r="N13" s="9">
        <f t="shared" si="0"/>
        <v>12</v>
      </c>
      <c r="O13" s="10">
        <f t="shared" si="1"/>
        <v>1620</v>
      </c>
      <c r="P13" s="5" t="s">
        <v>19</v>
      </c>
      <c r="Q13" s="11"/>
      <c r="R13" s="5" t="s">
        <v>15</v>
      </c>
    </row>
    <row r="14" spans="1:18" s="5" customFormat="1" x14ac:dyDescent="0.25">
      <c r="A14" s="6" t="s">
        <v>39</v>
      </c>
      <c r="B14" s="7">
        <v>1481</v>
      </c>
      <c r="C14" s="8">
        <v>43722</v>
      </c>
      <c r="D14" s="7" t="s">
        <v>40</v>
      </c>
      <c r="E14" s="8">
        <v>43677</v>
      </c>
      <c r="F14" s="7">
        <v>0</v>
      </c>
      <c r="G14" s="7">
        <v>0</v>
      </c>
      <c r="H14" s="8">
        <v>43724</v>
      </c>
      <c r="I14" s="8">
        <v>43713</v>
      </c>
      <c r="J14" s="7" t="s">
        <v>18</v>
      </c>
      <c r="K14" s="9">
        <v>1392.02</v>
      </c>
      <c r="L14" s="7">
        <v>251.02</v>
      </c>
      <c r="M14" s="9">
        <v>1141</v>
      </c>
      <c r="N14" s="9">
        <f t="shared" si="0"/>
        <v>11</v>
      </c>
      <c r="O14" s="10">
        <f t="shared" si="1"/>
        <v>12551</v>
      </c>
      <c r="P14" s="5" t="s">
        <v>19</v>
      </c>
      <c r="Q14" s="11"/>
      <c r="R14" s="5" t="s">
        <v>41</v>
      </c>
    </row>
    <row r="15" spans="1:18" s="5" customFormat="1" x14ac:dyDescent="0.25">
      <c r="A15" s="6" t="s">
        <v>42</v>
      </c>
      <c r="B15" s="7">
        <v>1571</v>
      </c>
      <c r="C15" s="8">
        <v>43727</v>
      </c>
      <c r="D15" s="7" t="str">
        <f>"63"</f>
        <v>63</v>
      </c>
      <c r="E15" s="8">
        <v>43677</v>
      </c>
      <c r="F15" s="7">
        <v>0</v>
      </c>
      <c r="G15" s="7">
        <v>0</v>
      </c>
      <c r="H15" s="8">
        <v>43727</v>
      </c>
      <c r="I15" s="8">
        <v>43716</v>
      </c>
      <c r="J15" s="7" t="s">
        <v>18</v>
      </c>
      <c r="K15" s="7">
        <v>219.6</v>
      </c>
      <c r="L15" s="7">
        <v>39.6</v>
      </c>
      <c r="M15" s="7">
        <v>180</v>
      </c>
      <c r="N15" s="7">
        <v>11</v>
      </c>
      <c r="O15" s="10">
        <f t="shared" si="1"/>
        <v>1980</v>
      </c>
      <c r="P15" s="5" t="s">
        <v>19</v>
      </c>
      <c r="Q15" s="11"/>
      <c r="R15" s="5" t="s">
        <v>15</v>
      </c>
    </row>
    <row r="16" spans="1:18" s="5" customFormat="1" x14ac:dyDescent="0.25">
      <c r="A16" s="6" t="s">
        <v>43</v>
      </c>
      <c r="B16" s="7">
        <v>1430</v>
      </c>
      <c r="C16" s="8">
        <v>43693</v>
      </c>
      <c r="D16" s="7" t="str">
        <f>"6400025110"</f>
        <v>6400025110</v>
      </c>
      <c r="E16" s="8">
        <v>43616</v>
      </c>
      <c r="F16" s="7">
        <v>0</v>
      </c>
      <c r="G16" s="7">
        <v>0</v>
      </c>
      <c r="H16" s="8">
        <v>43693</v>
      </c>
      <c r="I16" s="8">
        <v>43691</v>
      </c>
      <c r="J16" s="7" t="s">
        <v>18</v>
      </c>
      <c r="K16" s="9">
        <v>1296.26</v>
      </c>
      <c r="L16" s="7">
        <v>49.86</v>
      </c>
      <c r="M16" s="9">
        <v>1246.4000000000001</v>
      </c>
      <c r="N16" s="7">
        <v>2</v>
      </c>
      <c r="O16" s="10">
        <f t="shared" si="1"/>
        <v>2492.8000000000002</v>
      </c>
      <c r="P16" s="5" t="s">
        <v>19</v>
      </c>
      <c r="Q16" s="11"/>
      <c r="R16" s="5" t="s">
        <v>44</v>
      </c>
    </row>
    <row r="17" spans="1:18" s="5" customFormat="1" x14ac:dyDescent="0.25">
      <c r="A17" s="6" t="s">
        <v>45</v>
      </c>
      <c r="B17" s="7">
        <v>1439</v>
      </c>
      <c r="C17" s="8">
        <v>43710</v>
      </c>
      <c r="D17" s="7" t="s">
        <v>46</v>
      </c>
      <c r="E17" s="8">
        <v>43677</v>
      </c>
      <c r="F17" s="7">
        <v>0</v>
      </c>
      <c r="G17" s="7">
        <v>0</v>
      </c>
      <c r="H17" s="8">
        <v>43710</v>
      </c>
      <c r="I17" s="8">
        <v>43709</v>
      </c>
      <c r="J17" s="7" t="s">
        <v>18</v>
      </c>
      <c r="K17" s="7">
        <v>575.84</v>
      </c>
      <c r="L17" s="7">
        <v>103.84</v>
      </c>
      <c r="M17" s="7">
        <v>472</v>
      </c>
      <c r="N17" s="7">
        <v>1</v>
      </c>
      <c r="O17" s="10">
        <f t="shared" si="1"/>
        <v>472</v>
      </c>
      <c r="P17" s="5" t="s">
        <v>19</v>
      </c>
      <c r="Q17" s="11"/>
      <c r="R17" s="5" t="s">
        <v>47</v>
      </c>
    </row>
    <row r="18" spans="1:18" s="5" customFormat="1" x14ac:dyDescent="0.25">
      <c r="A18" s="6" t="s">
        <v>48</v>
      </c>
      <c r="B18" s="7">
        <v>1445</v>
      </c>
      <c r="C18" s="8">
        <v>43713</v>
      </c>
      <c r="D18" s="7" t="s">
        <v>49</v>
      </c>
      <c r="E18" s="8">
        <v>43677</v>
      </c>
      <c r="F18" s="7">
        <v>0</v>
      </c>
      <c r="G18" s="7">
        <v>0</v>
      </c>
      <c r="H18" s="8">
        <v>43713</v>
      </c>
      <c r="I18" s="8">
        <v>43714</v>
      </c>
      <c r="J18" s="7" t="s">
        <v>18</v>
      </c>
      <c r="K18" s="9">
        <v>1397</v>
      </c>
      <c r="L18" s="7">
        <v>0</v>
      </c>
      <c r="M18" s="9">
        <v>1397</v>
      </c>
      <c r="N18" s="7">
        <v>-1</v>
      </c>
      <c r="O18" s="10">
        <f t="shared" si="1"/>
        <v>-1397</v>
      </c>
      <c r="P18" s="5" t="s">
        <v>19</v>
      </c>
      <c r="Q18" s="11"/>
      <c r="R18" s="5" t="s">
        <v>50</v>
      </c>
    </row>
    <row r="19" spans="1:18" s="5" customFormat="1" x14ac:dyDescent="0.25">
      <c r="A19" s="6" t="s">
        <v>51</v>
      </c>
      <c r="B19" s="7">
        <v>1580</v>
      </c>
      <c r="C19" s="8">
        <v>43736</v>
      </c>
      <c r="D19" s="7" t="str">
        <f>"2019020944"</f>
        <v>2019020944</v>
      </c>
      <c r="E19" s="8">
        <v>43621</v>
      </c>
      <c r="F19" s="7">
        <v>0</v>
      </c>
      <c r="G19" s="7">
        <v>0</v>
      </c>
      <c r="H19" s="8">
        <v>43736</v>
      </c>
      <c r="I19" s="8">
        <v>43738</v>
      </c>
      <c r="J19" s="7" t="s">
        <v>18</v>
      </c>
      <c r="K19" s="7">
        <v>7.26</v>
      </c>
      <c r="L19" s="7">
        <v>0</v>
      </c>
      <c r="M19" s="7">
        <v>7.26</v>
      </c>
      <c r="N19" s="7">
        <v>-2</v>
      </c>
      <c r="O19" s="10">
        <f t="shared" si="1"/>
        <v>-14.52</v>
      </c>
      <c r="P19" s="5" t="s">
        <v>19</v>
      </c>
      <c r="Q19" s="11"/>
      <c r="R19" s="5" t="s">
        <v>52</v>
      </c>
    </row>
    <row r="20" spans="1:18" s="5" customFormat="1" ht="25.5" x14ac:dyDescent="0.25">
      <c r="A20" s="6" t="s">
        <v>53</v>
      </c>
      <c r="B20" s="7">
        <v>1568</v>
      </c>
      <c r="C20" s="8">
        <v>43727</v>
      </c>
      <c r="D20" s="7" t="s">
        <v>54</v>
      </c>
      <c r="E20" s="8">
        <v>43700</v>
      </c>
      <c r="F20" s="7">
        <v>0</v>
      </c>
      <c r="G20" s="7">
        <v>0</v>
      </c>
      <c r="H20" s="8">
        <v>43727</v>
      </c>
      <c r="I20" s="8">
        <v>43730</v>
      </c>
      <c r="J20" s="7" t="s">
        <v>18</v>
      </c>
      <c r="K20" s="9">
        <v>1323.56</v>
      </c>
      <c r="L20" s="7">
        <v>175.56</v>
      </c>
      <c r="M20" s="9">
        <v>1148</v>
      </c>
      <c r="N20" s="7">
        <v>-3</v>
      </c>
      <c r="O20" s="10">
        <f t="shared" si="1"/>
        <v>-3444</v>
      </c>
      <c r="P20" s="5" t="s">
        <v>19</v>
      </c>
      <c r="Q20" s="11"/>
      <c r="R20" s="5" t="s">
        <v>55</v>
      </c>
    </row>
    <row r="21" spans="1:18" s="5" customFormat="1" x14ac:dyDescent="0.25">
      <c r="A21" s="6" t="s">
        <v>56</v>
      </c>
      <c r="B21" s="7">
        <v>1158</v>
      </c>
      <c r="C21" s="8">
        <v>43664</v>
      </c>
      <c r="D21" s="7" t="s">
        <v>57</v>
      </c>
      <c r="E21" s="8">
        <v>43648</v>
      </c>
      <c r="F21" s="7">
        <v>0</v>
      </c>
      <c r="G21" s="7">
        <v>0</v>
      </c>
      <c r="H21" s="8">
        <v>43664</v>
      </c>
      <c r="I21" s="8">
        <v>43668</v>
      </c>
      <c r="J21" s="7" t="s">
        <v>18</v>
      </c>
      <c r="K21" s="9">
        <v>2414.81</v>
      </c>
      <c r="L21" s="7">
        <v>435.46</v>
      </c>
      <c r="M21" s="9">
        <v>1979.35</v>
      </c>
      <c r="N21" s="7">
        <v>-4</v>
      </c>
      <c r="O21" s="10">
        <f t="shared" si="1"/>
        <v>-7917.4</v>
      </c>
      <c r="P21" s="5" t="s">
        <v>19</v>
      </c>
      <c r="Q21" s="11"/>
      <c r="R21" s="5" t="s">
        <v>58</v>
      </c>
    </row>
    <row r="22" spans="1:18" s="5" customFormat="1" x14ac:dyDescent="0.25">
      <c r="A22" s="6" t="s">
        <v>56</v>
      </c>
      <c r="B22" s="7">
        <v>1157</v>
      </c>
      <c r="C22" s="8">
        <v>43664</v>
      </c>
      <c r="D22" s="7" t="s">
        <v>59</v>
      </c>
      <c r="E22" s="8">
        <v>43648</v>
      </c>
      <c r="F22" s="7">
        <v>0</v>
      </c>
      <c r="G22" s="7">
        <v>0</v>
      </c>
      <c r="H22" s="8">
        <v>43664</v>
      </c>
      <c r="I22" s="8">
        <v>43668</v>
      </c>
      <c r="J22" s="7" t="s">
        <v>18</v>
      </c>
      <c r="K22" s="7">
        <v>628.29</v>
      </c>
      <c r="L22" s="7">
        <v>113.3</v>
      </c>
      <c r="M22" s="7">
        <v>514.99</v>
      </c>
      <c r="N22" s="7">
        <v>-4</v>
      </c>
      <c r="O22" s="10">
        <f t="shared" si="1"/>
        <v>-2059.96</v>
      </c>
      <c r="P22" s="5" t="s">
        <v>19</v>
      </c>
      <c r="Q22" s="11"/>
      <c r="R22" s="5" t="s">
        <v>58</v>
      </c>
    </row>
    <row r="23" spans="1:18" s="5" customFormat="1" x14ac:dyDescent="0.25">
      <c r="A23" s="6" t="s">
        <v>56</v>
      </c>
      <c r="B23" s="7">
        <v>1159</v>
      </c>
      <c r="C23" s="8">
        <v>43664</v>
      </c>
      <c r="D23" s="7" t="s">
        <v>60</v>
      </c>
      <c r="E23" s="8">
        <v>43648</v>
      </c>
      <c r="F23" s="7">
        <v>0</v>
      </c>
      <c r="G23" s="7">
        <v>0</v>
      </c>
      <c r="H23" s="8">
        <v>43664</v>
      </c>
      <c r="I23" s="8">
        <v>43668</v>
      </c>
      <c r="J23" s="7" t="s">
        <v>18</v>
      </c>
      <c r="K23" s="7">
        <v>488.26</v>
      </c>
      <c r="L23" s="7">
        <v>88.05</v>
      </c>
      <c r="M23" s="7">
        <v>400.21</v>
      </c>
      <c r="N23" s="7">
        <v>-4</v>
      </c>
      <c r="O23" s="10">
        <f t="shared" si="1"/>
        <v>-1600.84</v>
      </c>
      <c r="P23" s="5" t="s">
        <v>19</v>
      </c>
      <c r="Q23" s="11"/>
      <c r="R23" s="5" t="s">
        <v>58</v>
      </c>
    </row>
    <row r="24" spans="1:18" s="5" customFormat="1" x14ac:dyDescent="0.25">
      <c r="A24" s="6" t="s">
        <v>56</v>
      </c>
      <c r="B24" s="7">
        <v>1161</v>
      </c>
      <c r="C24" s="8">
        <v>43664</v>
      </c>
      <c r="D24" s="7" t="s">
        <v>61</v>
      </c>
      <c r="E24" s="8">
        <v>43648</v>
      </c>
      <c r="F24" s="7">
        <v>0</v>
      </c>
      <c r="G24" s="7">
        <v>0</v>
      </c>
      <c r="H24" s="8">
        <v>43664</v>
      </c>
      <c r="I24" s="8">
        <v>43668</v>
      </c>
      <c r="J24" s="7" t="s">
        <v>18</v>
      </c>
      <c r="K24" s="7">
        <v>292.51</v>
      </c>
      <c r="L24" s="7">
        <v>52.75</v>
      </c>
      <c r="M24" s="7">
        <v>239.76</v>
      </c>
      <c r="N24" s="7">
        <v>-4</v>
      </c>
      <c r="O24" s="10">
        <f t="shared" si="1"/>
        <v>-959.04</v>
      </c>
      <c r="P24" s="5" t="s">
        <v>19</v>
      </c>
      <c r="Q24" s="11"/>
      <c r="R24" s="5" t="s">
        <v>58</v>
      </c>
    </row>
    <row r="25" spans="1:18" s="5" customFormat="1" x14ac:dyDescent="0.25">
      <c r="A25" s="6" t="s">
        <v>56</v>
      </c>
      <c r="B25" s="7">
        <v>1156</v>
      </c>
      <c r="C25" s="8">
        <v>43664</v>
      </c>
      <c r="D25" s="7" t="s">
        <v>62</v>
      </c>
      <c r="E25" s="8">
        <v>43648</v>
      </c>
      <c r="F25" s="7">
        <v>0</v>
      </c>
      <c r="G25" s="7">
        <v>0</v>
      </c>
      <c r="H25" s="8">
        <v>43664</v>
      </c>
      <c r="I25" s="8">
        <v>43668</v>
      </c>
      <c r="J25" s="7" t="s">
        <v>18</v>
      </c>
      <c r="K25" s="7">
        <v>225.55</v>
      </c>
      <c r="L25" s="7">
        <v>40.67</v>
      </c>
      <c r="M25" s="7">
        <v>184.88</v>
      </c>
      <c r="N25" s="7">
        <v>-4</v>
      </c>
      <c r="O25" s="10">
        <f t="shared" si="1"/>
        <v>-739.52</v>
      </c>
      <c r="P25" s="5" t="s">
        <v>19</v>
      </c>
      <c r="Q25" s="11"/>
      <c r="R25" s="5" t="s">
        <v>58</v>
      </c>
    </row>
    <row r="26" spans="1:18" s="5" customFormat="1" x14ac:dyDescent="0.25">
      <c r="A26" s="6" t="s">
        <v>56</v>
      </c>
      <c r="B26" s="7">
        <v>1163</v>
      </c>
      <c r="C26" s="8">
        <v>43664</v>
      </c>
      <c r="D26" s="7" t="s">
        <v>63</v>
      </c>
      <c r="E26" s="8">
        <v>43648</v>
      </c>
      <c r="F26" s="7">
        <v>0</v>
      </c>
      <c r="G26" s="7">
        <v>0</v>
      </c>
      <c r="H26" s="8">
        <v>43664</v>
      </c>
      <c r="I26" s="8">
        <v>43668</v>
      </c>
      <c r="J26" s="7" t="s">
        <v>18</v>
      </c>
      <c r="K26" s="7">
        <v>654.53</v>
      </c>
      <c r="L26" s="7">
        <v>118.03</v>
      </c>
      <c r="M26" s="7">
        <v>536.5</v>
      </c>
      <c r="N26" s="7">
        <v>-4</v>
      </c>
      <c r="O26" s="10">
        <f t="shared" si="1"/>
        <v>-2146</v>
      </c>
      <c r="P26" s="5" t="s">
        <v>19</v>
      </c>
      <c r="Q26" s="11"/>
      <c r="R26" s="5" t="s">
        <v>58</v>
      </c>
    </row>
    <row r="27" spans="1:18" s="5" customFormat="1" x14ac:dyDescent="0.25">
      <c r="A27" s="6" t="s">
        <v>56</v>
      </c>
      <c r="B27" s="7">
        <v>1160</v>
      </c>
      <c r="C27" s="8">
        <v>43664</v>
      </c>
      <c r="D27" s="7" t="s">
        <v>64</v>
      </c>
      <c r="E27" s="8">
        <v>43648</v>
      </c>
      <c r="F27" s="7">
        <v>0</v>
      </c>
      <c r="G27" s="7">
        <v>0</v>
      </c>
      <c r="H27" s="8">
        <v>43664</v>
      </c>
      <c r="I27" s="8">
        <v>43668</v>
      </c>
      <c r="J27" s="7" t="s">
        <v>18</v>
      </c>
      <c r="K27" s="7">
        <v>249.98</v>
      </c>
      <c r="L27" s="7">
        <v>45.08</v>
      </c>
      <c r="M27" s="7">
        <v>204.9</v>
      </c>
      <c r="N27" s="7">
        <v>-4</v>
      </c>
      <c r="O27" s="10">
        <f t="shared" si="1"/>
        <v>-819.6</v>
      </c>
      <c r="P27" s="5" t="s">
        <v>19</v>
      </c>
      <c r="Q27" s="11"/>
      <c r="R27" s="5" t="s">
        <v>58</v>
      </c>
    </row>
    <row r="28" spans="1:18" s="5" customFormat="1" x14ac:dyDescent="0.25">
      <c r="A28" s="6" t="s">
        <v>56</v>
      </c>
      <c r="B28" s="7">
        <v>1162</v>
      </c>
      <c r="C28" s="8">
        <v>43664</v>
      </c>
      <c r="D28" s="7" t="s">
        <v>65</v>
      </c>
      <c r="E28" s="8">
        <v>43648</v>
      </c>
      <c r="F28" s="7">
        <v>0</v>
      </c>
      <c r="G28" s="7">
        <v>0</v>
      </c>
      <c r="H28" s="8">
        <v>43664</v>
      </c>
      <c r="I28" s="8">
        <v>43668</v>
      </c>
      <c r="J28" s="7" t="s">
        <v>18</v>
      </c>
      <c r="K28" s="7">
        <v>321.43</v>
      </c>
      <c r="L28" s="7">
        <v>57.96</v>
      </c>
      <c r="M28" s="7">
        <v>263.47000000000003</v>
      </c>
      <c r="N28" s="7">
        <v>-4</v>
      </c>
      <c r="O28" s="10">
        <f t="shared" si="1"/>
        <v>-1053.8800000000001</v>
      </c>
      <c r="P28" s="5" t="s">
        <v>19</v>
      </c>
      <c r="Q28" s="11"/>
      <c r="R28" s="5" t="s">
        <v>58</v>
      </c>
    </row>
    <row r="29" spans="1:18" s="5" customFormat="1" x14ac:dyDescent="0.25">
      <c r="A29" s="6" t="s">
        <v>51</v>
      </c>
      <c r="B29" s="7">
        <v>1575</v>
      </c>
      <c r="C29" s="8">
        <v>43732</v>
      </c>
      <c r="D29" s="7" t="str">
        <f>"2019020945"</f>
        <v>2019020945</v>
      </c>
      <c r="E29" s="8">
        <v>43621</v>
      </c>
      <c r="F29" s="7">
        <v>0</v>
      </c>
      <c r="G29" s="7">
        <v>0</v>
      </c>
      <c r="H29" s="8">
        <v>43734</v>
      </c>
      <c r="I29" s="8">
        <v>43738</v>
      </c>
      <c r="J29" s="7" t="s">
        <v>18</v>
      </c>
      <c r="K29" s="7">
        <v>7.31</v>
      </c>
      <c r="L29" s="7">
        <v>1.32</v>
      </c>
      <c r="M29" s="7">
        <v>5.99</v>
      </c>
      <c r="N29" s="7">
        <v>-4</v>
      </c>
      <c r="O29" s="10">
        <f t="shared" si="1"/>
        <v>-23.96</v>
      </c>
      <c r="P29" s="5" t="s">
        <v>19</v>
      </c>
      <c r="Q29" s="11"/>
      <c r="R29" s="5" t="s">
        <v>52</v>
      </c>
    </row>
    <row r="30" spans="1:18" s="5" customFormat="1" x14ac:dyDescent="0.25">
      <c r="A30" s="6" t="s">
        <v>51</v>
      </c>
      <c r="B30" s="7">
        <v>1575</v>
      </c>
      <c r="C30" s="8">
        <v>43732</v>
      </c>
      <c r="D30" s="7" t="str">
        <f>"2019020947"</f>
        <v>2019020947</v>
      </c>
      <c r="E30" s="8">
        <v>43621</v>
      </c>
      <c r="F30" s="7">
        <v>0</v>
      </c>
      <c r="G30" s="7">
        <v>0</v>
      </c>
      <c r="H30" s="8">
        <v>43734</v>
      </c>
      <c r="I30" s="8">
        <v>43738</v>
      </c>
      <c r="J30" s="7" t="s">
        <v>18</v>
      </c>
      <c r="K30" s="7">
        <v>7.31</v>
      </c>
      <c r="L30" s="7">
        <v>1.32</v>
      </c>
      <c r="M30" s="7">
        <v>5.99</v>
      </c>
      <c r="N30" s="7">
        <v>-4</v>
      </c>
      <c r="O30" s="10">
        <f t="shared" si="1"/>
        <v>-23.96</v>
      </c>
      <c r="P30" s="5" t="s">
        <v>19</v>
      </c>
      <c r="Q30" s="11"/>
      <c r="R30" s="5" t="s">
        <v>52</v>
      </c>
    </row>
    <row r="31" spans="1:18" s="5" customFormat="1" x14ac:dyDescent="0.25">
      <c r="A31" s="6" t="s">
        <v>51</v>
      </c>
      <c r="B31" s="7">
        <v>1575</v>
      </c>
      <c r="C31" s="8">
        <v>43732</v>
      </c>
      <c r="D31" s="7" t="str">
        <f>"2019020946"</f>
        <v>2019020946</v>
      </c>
      <c r="E31" s="8">
        <v>43621</v>
      </c>
      <c r="F31" s="7">
        <v>0</v>
      </c>
      <c r="G31" s="7">
        <v>0</v>
      </c>
      <c r="H31" s="8">
        <v>43734</v>
      </c>
      <c r="I31" s="8">
        <v>43738</v>
      </c>
      <c r="J31" s="7" t="s">
        <v>18</v>
      </c>
      <c r="K31" s="7">
        <v>7.31</v>
      </c>
      <c r="L31" s="7">
        <v>1.32</v>
      </c>
      <c r="M31" s="7">
        <v>5.99</v>
      </c>
      <c r="N31" s="7">
        <v>-4</v>
      </c>
      <c r="O31" s="10">
        <f t="shared" si="1"/>
        <v>-23.96</v>
      </c>
      <c r="P31" s="5" t="s">
        <v>19</v>
      </c>
      <c r="Q31" s="11"/>
      <c r="R31" s="5" t="s">
        <v>52</v>
      </c>
    </row>
    <row r="32" spans="1:18" s="5" customFormat="1" x14ac:dyDescent="0.25">
      <c r="A32" s="6" t="s">
        <v>66</v>
      </c>
      <c r="B32" s="7">
        <v>1577</v>
      </c>
      <c r="C32" s="8">
        <v>43736</v>
      </c>
      <c r="D32" s="7" t="s">
        <v>67</v>
      </c>
      <c r="E32" s="8">
        <v>43710</v>
      </c>
      <c r="F32" s="7">
        <v>0</v>
      </c>
      <c r="G32" s="7">
        <v>0</v>
      </c>
      <c r="H32" s="8">
        <v>43736</v>
      </c>
      <c r="I32" s="8">
        <v>43740</v>
      </c>
      <c r="J32" s="7" t="s">
        <v>18</v>
      </c>
      <c r="K32" s="9">
        <v>2926.38</v>
      </c>
      <c r="L32" s="7">
        <v>527.71</v>
      </c>
      <c r="M32" s="9">
        <v>2398.67</v>
      </c>
      <c r="N32" s="7">
        <v>-4</v>
      </c>
      <c r="O32" s="10">
        <f t="shared" si="1"/>
        <v>-9594.68</v>
      </c>
      <c r="P32" s="5" t="s">
        <v>19</v>
      </c>
      <c r="Q32" s="11"/>
      <c r="R32" s="5" t="s">
        <v>68</v>
      </c>
    </row>
    <row r="33" spans="1:18" s="5" customFormat="1" x14ac:dyDescent="0.25">
      <c r="A33" s="6" t="s">
        <v>69</v>
      </c>
      <c r="B33" s="7">
        <v>1438</v>
      </c>
      <c r="C33" s="8">
        <v>43710</v>
      </c>
      <c r="D33" s="7" t="str">
        <f>"2019109672"</f>
        <v>2019109672</v>
      </c>
      <c r="E33" s="8">
        <v>43677</v>
      </c>
      <c r="F33" s="7">
        <v>0</v>
      </c>
      <c r="G33" s="7">
        <v>0</v>
      </c>
      <c r="H33" s="8">
        <v>43710</v>
      </c>
      <c r="I33" s="8">
        <v>43714</v>
      </c>
      <c r="J33" s="7" t="s">
        <v>18</v>
      </c>
      <c r="K33" s="7">
        <v>146.4</v>
      </c>
      <c r="L33" s="7">
        <v>26.4</v>
      </c>
      <c r="M33" s="7">
        <v>120</v>
      </c>
      <c r="N33" s="7">
        <v>-4</v>
      </c>
      <c r="O33" s="10">
        <f t="shared" si="1"/>
        <v>-480</v>
      </c>
      <c r="P33" s="5" t="s">
        <v>19</v>
      </c>
      <c r="Q33" s="11"/>
      <c r="R33" s="5" t="s">
        <v>20</v>
      </c>
    </row>
    <row r="34" spans="1:18" s="5" customFormat="1" x14ac:dyDescent="0.25">
      <c r="A34" s="6" t="s">
        <v>70</v>
      </c>
      <c r="B34" s="7">
        <v>1578</v>
      </c>
      <c r="C34" s="8">
        <v>43736</v>
      </c>
      <c r="D34" s="7" t="s">
        <v>71</v>
      </c>
      <c r="E34" s="8">
        <v>43711</v>
      </c>
      <c r="F34" s="7">
        <v>0</v>
      </c>
      <c r="G34" s="7">
        <v>0</v>
      </c>
      <c r="H34" s="8">
        <v>43736</v>
      </c>
      <c r="I34" s="8">
        <v>43741</v>
      </c>
      <c r="J34" s="7" t="s">
        <v>18</v>
      </c>
      <c r="K34" s="7">
        <v>379.46</v>
      </c>
      <c r="L34" s="7">
        <v>8.17</v>
      </c>
      <c r="M34" s="7">
        <v>371.29</v>
      </c>
      <c r="N34" s="7">
        <v>-5</v>
      </c>
      <c r="O34" s="10">
        <f t="shared" si="1"/>
        <v>-1856.45</v>
      </c>
      <c r="P34" s="5" t="s">
        <v>19</v>
      </c>
      <c r="Q34" s="11"/>
      <c r="R34" s="5" t="s">
        <v>72</v>
      </c>
    </row>
    <row r="35" spans="1:18" s="5" customFormat="1" x14ac:dyDescent="0.25">
      <c r="A35" s="6" t="s">
        <v>70</v>
      </c>
      <c r="B35" s="7">
        <v>1578</v>
      </c>
      <c r="C35" s="8">
        <v>43736</v>
      </c>
      <c r="D35" s="7" t="s">
        <v>73</v>
      </c>
      <c r="E35" s="8">
        <v>43711</v>
      </c>
      <c r="F35" s="7">
        <v>0</v>
      </c>
      <c r="G35" s="7">
        <v>0</v>
      </c>
      <c r="H35" s="8">
        <v>43736</v>
      </c>
      <c r="I35" s="8">
        <v>43741</v>
      </c>
      <c r="J35" s="7" t="s">
        <v>18</v>
      </c>
      <c r="K35" s="7">
        <v>505.6</v>
      </c>
      <c r="L35" s="7">
        <v>10.9</v>
      </c>
      <c r="M35" s="7">
        <v>494.7</v>
      </c>
      <c r="N35" s="7">
        <v>-5</v>
      </c>
      <c r="O35" s="10">
        <f t="shared" si="1"/>
        <v>-2473.5</v>
      </c>
      <c r="P35" s="5" t="s">
        <v>19</v>
      </c>
      <c r="Q35" s="11"/>
      <c r="R35" s="5" t="s">
        <v>72</v>
      </c>
    </row>
    <row r="36" spans="1:18" s="5" customFormat="1" x14ac:dyDescent="0.25">
      <c r="A36" s="6" t="s">
        <v>70</v>
      </c>
      <c r="B36" s="7">
        <v>1578</v>
      </c>
      <c r="C36" s="8">
        <v>43736</v>
      </c>
      <c r="D36" s="7" t="s">
        <v>74</v>
      </c>
      <c r="E36" s="8">
        <v>43711</v>
      </c>
      <c r="F36" s="7">
        <v>0</v>
      </c>
      <c r="G36" s="7">
        <v>0</v>
      </c>
      <c r="H36" s="8">
        <v>43736</v>
      </c>
      <c r="I36" s="8">
        <v>43741</v>
      </c>
      <c r="J36" s="7" t="s">
        <v>18</v>
      </c>
      <c r="K36" s="7">
        <v>729.78</v>
      </c>
      <c r="L36" s="7">
        <v>15.75</v>
      </c>
      <c r="M36" s="7">
        <v>714.03</v>
      </c>
      <c r="N36" s="7">
        <v>-5</v>
      </c>
      <c r="O36" s="10">
        <f t="shared" si="1"/>
        <v>-3570.1499999999996</v>
      </c>
      <c r="P36" s="5" t="s">
        <v>19</v>
      </c>
      <c r="Q36" s="11"/>
      <c r="R36" s="5" t="s">
        <v>72</v>
      </c>
    </row>
    <row r="37" spans="1:18" s="5" customFormat="1" x14ac:dyDescent="0.25">
      <c r="A37" s="6" t="s">
        <v>75</v>
      </c>
      <c r="B37" s="7">
        <v>1092</v>
      </c>
      <c r="C37" s="8">
        <v>43658</v>
      </c>
      <c r="D37" s="7" t="s">
        <v>76</v>
      </c>
      <c r="E37" s="8">
        <v>43630</v>
      </c>
      <c r="F37" s="7">
        <v>0</v>
      </c>
      <c r="G37" s="7">
        <v>0</v>
      </c>
      <c r="H37" s="8">
        <v>43658</v>
      </c>
      <c r="I37" s="8">
        <v>43663</v>
      </c>
      <c r="J37" s="7" t="s">
        <v>18</v>
      </c>
      <c r="K37" s="9">
        <v>6025.71</v>
      </c>
      <c r="L37" s="9">
        <v>1086.5999999999999</v>
      </c>
      <c r="M37" s="9">
        <v>4939.1099999999997</v>
      </c>
      <c r="N37" s="7">
        <v>-5</v>
      </c>
      <c r="O37" s="10">
        <f t="shared" si="1"/>
        <v>-24695.55</v>
      </c>
      <c r="P37" s="5" t="s">
        <v>19</v>
      </c>
      <c r="Q37" s="11"/>
      <c r="R37" s="5" t="s">
        <v>77</v>
      </c>
    </row>
    <row r="38" spans="1:18" s="5" customFormat="1" x14ac:dyDescent="0.25">
      <c r="A38" s="6" t="s">
        <v>78</v>
      </c>
      <c r="B38" s="7">
        <v>1482</v>
      </c>
      <c r="C38" s="8">
        <v>43722</v>
      </c>
      <c r="D38" s="7" t="s">
        <v>79</v>
      </c>
      <c r="E38" s="8">
        <v>43700</v>
      </c>
      <c r="F38" s="7">
        <v>0</v>
      </c>
      <c r="G38" s="7">
        <v>0</v>
      </c>
      <c r="H38" s="8">
        <v>43724</v>
      </c>
      <c r="I38" s="8">
        <v>43730</v>
      </c>
      <c r="J38" s="7" t="s">
        <v>18</v>
      </c>
      <c r="K38" s="7">
        <v>446.52</v>
      </c>
      <c r="L38" s="7">
        <v>80.52</v>
      </c>
      <c r="M38" s="7">
        <v>366</v>
      </c>
      <c r="N38" s="7">
        <v>-6</v>
      </c>
      <c r="O38" s="10">
        <f t="shared" si="1"/>
        <v>-2196</v>
      </c>
      <c r="P38" s="5" t="s">
        <v>19</v>
      </c>
      <c r="Q38" s="11"/>
      <c r="R38" s="5" t="s">
        <v>26</v>
      </c>
    </row>
    <row r="39" spans="1:18" s="5" customFormat="1" x14ac:dyDescent="0.25">
      <c r="A39" s="6" t="s">
        <v>56</v>
      </c>
      <c r="B39" s="7">
        <v>1474</v>
      </c>
      <c r="C39" s="8">
        <v>43722</v>
      </c>
      <c r="D39" s="7" t="s">
        <v>80</v>
      </c>
      <c r="E39" s="8">
        <v>43709</v>
      </c>
      <c r="F39" s="7">
        <v>0</v>
      </c>
      <c r="G39" s="7">
        <v>0</v>
      </c>
      <c r="H39" s="8">
        <v>43724</v>
      </c>
      <c r="I39" s="8">
        <v>43731</v>
      </c>
      <c r="J39" s="7" t="s">
        <v>18</v>
      </c>
      <c r="K39" s="7">
        <v>379.54</v>
      </c>
      <c r="L39" s="7">
        <v>68.44</v>
      </c>
      <c r="M39" s="7">
        <v>311.10000000000002</v>
      </c>
      <c r="N39" s="7">
        <v>-7</v>
      </c>
      <c r="O39" s="10">
        <f t="shared" si="1"/>
        <v>-2177.7000000000003</v>
      </c>
      <c r="P39" s="5" t="s">
        <v>19</v>
      </c>
      <c r="Q39" s="11"/>
      <c r="R39" s="5" t="s">
        <v>81</v>
      </c>
    </row>
    <row r="40" spans="1:18" s="5" customFormat="1" x14ac:dyDescent="0.25">
      <c r="A40" s="6" t="s">
        <v>56</v>
      </c>
      <c r="B40" s="7">
        <v>1468</v>
      </c>
      <c r="C40" s="8">
        <v>43722</v>
      </c>
      <c r="D40" s="7" t="s">
        <v>82</v>
      </c>
      <c r="E40" s="8">
        <v>43709</v>
      </c>
      <c r="F40" s="7">
        <v>0</v>
      </c>
      <c r="G40" s="7">
        <v>0</v>
      </c>
      <c r="H40" s="8">
        <v>43724</v>
      </c>
      <c r="I40" s="8">
        <v>43731</v>
      </c>
      <c r="J40" s="7" t="s">
        <v>18</v>
      </c>
      <c r="K40" s="7">
        <v>647.91</v>
      </c>
      <c r="L40" s="7">
        <v>116.84</v>
      </c>
      <c r="M40" s="7">
        <v>531.07000000000005</v>
      </c>
      <c r="N40" s="7">
        <v>-7</v>
      </c>
      <c r="O40" s="10">
        <f t="shared" si="1"/>
        <v>-3717.4900000000002</v>
      </c>
      <c r="P40" s="5" t="s">
        <v>19</v>
      </c>
      <c r="Q40" s="11"/>
      <c r="R40" s="5" t="s">
        <v>81</v>
      </c>
    </row>
    <row r="41" spans="1:18" s="5" customFormat="1" x14ac:dyDescent="0.25">
      <c r="A41" s="6" t="s">
        <v>56</v>
      </c>
      <c r="B41" s="7">
        <v>1471</v>
      </c>
      <c r="C41" s="8">
        <v>43722</v>
      </c>
      <c r="D41" s="7" t="s">
        <v>83</v>
      </c>
      <c r="E41" s="8">
        <v>43709</v>
      </c>
      <c r="F41" s="7">
        <v>0</v>
      </c>
      <c r="G41" s="7">
        <v>0</v>
      </c>
      <c r="H41" s="8">
        <v>43724</v>
      </c>
      <c r="I41" s="8">
        <v>43731</v>
      </c>
      <c r="J41" s="7" t="s">
        <v>18</v>
      </c>
      <c r="K41" s="7">
        <v>366.24</v>
      </c>
      <c r="L41" s="7">
        <v>66.040000000000006</v>
      </c>
      <c r="M41" s="7">
        <v>300.2</v>
      </c>
      <c r="N41" s="7">
        <v>-7</v>
      </c>
      <c r="O41" s="10">
        <f t="shared" si="1"/>
        <v>-2101.4</v>
      </c>
      <c r="P41" s="5" t="s">
        <v>19</v>
      </c>
      <c r="Q41" s="11"/>
      <c r="R41" s="5" t="s">
        <v>81</v>
      </c>
    </row>
    <row r="42" spans="1:18" s="5" customFormat="1" x14ac:dyDescent="0.25">
      <c r="A42" s="6" t="s">
        <v>56</v>
      </c>
      <c r="B42" s="7">
        <v>1467</v>
      </c>
      <c r="C42" s="8">
        <v>43722</v>
      </c>
      <c r="D42" s="7" t="s">
        <v>84</v>
      </c>
      <c r="E42" s="8">
        <v>43709</v>
      </c>
      <c r="F42" s="7">
        <v>0</v>
      </c>
      <c r="G42" s="7">
        <v>0</v>
      </c>
      <c r="H42" s="8">
        <v>43724</v>
      </c>
      <c r="I42" s="8">
        <v>43731</v>
      </c>
      <c r="J42" s="7" t="s">
        <v>18</v>
      </c>
      <c r="K42" s="7">
        <v>394.63</v>
      </c>
      <c r="L42" s="7">
        <v>71.16</v>
      </c>
      <c r="M42" s="7">
        <v>323.47000000000003</v>
      </c>
      <c r="N42" s="7">
        <v>-7</v>
      </c>
      <c r="O42" s="10">
        <f t="shared" si="1"/>
        <v>-2264.29</v>
      </c>
      <c r="P42" s="5" t="s">
        <v>19</v>
      </c>
      <c r="Q42" s="11"/>
      <c r="R42" s="5" t="s">
        <v>81</v>
      </c>
    </row>
    <row r="43" spans="1:18" s="5" customFormat="1" x14ac:dyDescent="0.25">
      <c r="A43" s="6" t="s">
        <v>56</v>
      </c>
      <c r="B43" s="7">
        <v>1470</v>
      </c>
      <c r="C43" s="8">
        <v>43722</v>
      </c>
      <c r="D43" s="7" t="s">
        <v>85</v>
      </c>
      <c r="E43" s="8">
        <v>43709</v>
      </c>
      <c r="F43" s="7">
        <v>0</v>
      </c>
      <c r="G43" s="7">
        <v>0</v>
      </c>
      <c r="H43" s="8">
        <v>43724</v>
      </c>
      <c r="I43" s="8">
        <v>43731</v>
      </c>
      <c r="J43" s="7" t="s">
        <v>18</v>
      </c>
      <c r="K43" s="7">
        <v>471.53</v>
      </c>
      <c r="L43" s="7">
        <v>85.03</v>
      </c>
      <c r="M43" s="7">
        <v>386.5</v>
      </c>
      <c r="N43" s="7">
        <v>-7</v>
      </c>
      <c r="O43" s="10">
        <f t="shared" si="1"/>
        <v>-2705.5</v>
      </c>
      <c r="P43" s="5" t="s">
        <v>19</v>
      </c>
      <c r="Q43" s="11"/>
      <c r="R43" s="5" t="s">
        <v>81</v>
      </c>
    </row>
    <row r="44" spans="1:18" s="5" customFormat="1" x14ac:dyDescent="0.25">
      <c r="A44" s="6" t="s">
        <v>56</v>
      </c>
      <c r="B44" s="7">
        <v>1472</v>
      </c>
      <c r="C44" s="8">
        <v>43722</v>
      </c>
      <c r="D44" s="7" t="s">
        <v>86</v>
      </c>
      <c r="E44" s="8">
        <v>43709</v>
      </c>
      <c r="F44" s="7">
        <v>0</v>
      </c>
      <c r="G44" s="7">
        <v>0</v>
      </c>
      <c r="H44" s="8">
        <v>43724</v>
      </c>
      <c r="I44" s="8">
        <v>43731</v>
      </c>
      <c r="J44" s="7" t="s">
        <v>18</v>
      </c>
      <c r="K44" s="7">
        <v>231.74</v>
      </c>
      <c r="L44" s="7">
        <v>41.79</v>
      </c>
      <c r="M44" s="7">
        <v>189.95</v>
      </c>
      <c r="N44" s="7">
        <v>-7</v>
      </c>
      <c r="O44" s="10">
        <f t="shared" si="1"/>
        <v>-1329.6499999999999</v>
      </c>
      <c r="P44" s="5" t="s">
        <v>19</v>
      </c>
      <c r="Q44" s="11"/>
      <c r="R44" s="5" t="s">
        <v>81</v>
      </c>
    </row>
    <row r="45" spans="1:18" s="5" customFormat="1" x14ac:dyDescent="0.25">
      <c r="A45" s="6" t="s">
        <v>56</v>
      </c>
      <c r="B45" s="7">
        <v>1466</v>
      </c>
      <c r="C45" s="8">
        <v>43722</v>
      </c>
      <c r="D45" s="7" t="s">
        <v>87</v>
      </c>
      <c r="E45" s="8">
        <v>43709</v>
      </c>
      <c r="F45" s="7">
        <v>0</v>
      </c>
      <c r="G45" s="7">
        <v>0</v>
      </c>
      <c r="H45" s="8">
        <v>43724</v>
      </c>
      <c r="I45" s="8">
        <v>43731</v>
      </c>
      <c r="J45" s="7" t="s">
        <v>18</v>
      </c>
      <c r="K45" s="7">
        <v>143.80000000000001</v>
      </c>
      <c r="L45" s="7">
        <v>25.93</v>
      </c>
      <c r="M45" s="7">
        <v>117.87</v>
      </c>
      <c r="N45" s="7">
        <v>-7</v>
      </c>
      <c r="O45" s="10">
        <f t="shared" si="1"/>
        <v>-825.09</v>
      </c>
      <c r="P45" s="5" t="s">
        <v>19</v>
      </c>
      <c r="Q45" s="11"/>
      <c r="R45" s="5" t="s">
        <v>81</v>
      </c>
    </row>
    <row r="46" spans="1:18" s="5" customFormat="1" x14ac:dyDescent="0.25">
      <c r="A46" s="6" t="s">
        <v>56</v>
      </c>
      <c r="B46" s="7">
        <v>1473</v>
      </c>
      <c r="C46" s="8">
        <v>43722</v>
      </c>
      <c r="D46" s="7" t="s">
        <v>88</v>
      </c>
      <c r="E46" s="8">
        <v>43709</v>
      </c>
      <c r="F46" s="7">
        <v>0</v>
      </c>
      <c r="G46" s="7">
        <v>0</v>
      </c>
      <c r="H46" s="8">
        <v>43724</v>
      </c>
      <c r="I46" s="8">
        <v>43731</v>
      </c>
      <c r="J46" s="7" t="s">
        <v>18</v>
      </c>
      <c r="K46" s="7">
        <v>174.8</v>
      </c>
      <c r="L46" s="7">
        <v>31.52</v>
      </c>
      <c r="M46" s="7">
        <v>143.28</v>
      </c>
      <c r="N46" s="7">
        <v>-7</v>
      </c>
      <c r="O46" s="10">
        <f t="shared" si="1"/>
        <v>-1002.96</v>
      </c>
      <c r="P46" s="5" t="s">
        <v>19</v>
      </c>
      <c r="Q46" s="11"/>
      <c r="R46" s="5" t="s">
        <v>81</v>
      </c>
    </row>
    <row r="47" spans="1:18" s="5" customFormat="1" x14ac:dyDescent="0.25">
      <c r="A47" s="6" t="s">
        <v>56</v>
      </c>
      <c r="B47" s="7">
        <v>1475</v>
      </c>
      <c r="C47" s="8">
        <v>43722</v>
      </c>
      <c r="D47" s="7" t="s">
        <v>89</v>
      </c>
      <c r="E47" s="8">
        <v>43709</v>
      </c>
      <c r="F47" s="7">
        <v>0</v>
      </c>
      <c r="G47" s="7">
        <v>0</v>
      </c>
      <c r="H47" s="8">
        <v>43724</v>
      </c>
      <c r="I47" s="8">
        <v>43731</v>
      </c>
      <c r="J47" s="7" t="s">
        <v>18</v>
      </c>
      <c r="K47" s="7">
        <v>301.45</v>
      </c>
      <c r="L47" s="7">
        <v>54.36</v>
      </c>
      <c r="M47" s="7">
        <v>247.09</v>
      </c>
      <c r="N47" s="7">
        <v>-7</v>
      </c>
      <c r="O47" s="10">
        <f t="shared" si="1"/>
        <v>-1729.63</v>
      </c>
      <c r="P47" s="5" t="s">
        <v>19</v>
      </c>
      <c r="Q47" s="11"/>
      <c r="R47" s="5" t="s">
        <v>81</v>
      </c>
    </row>
    <row r="48" spans="1:18" s="5" customFormat="1" x14ac:dyDescent="0.25">
      <c r="A48" s="6" t="s">
        <v>56</v>
      </c>
      <c r="B48" s="7">
        <v>1476</v>
      </c>
      <c r="C48" s="8">
        <v>43722</v>
      </c>
      <c r="D48" s="7" t="s">
        <v>90</v>
      </c>
      <c r="E48" s="8">
        <v>43709</v>
      </c>
      <c r="F48" s="7">
        <v>0</v>
      </c>
      <c r="G48" s="7">
        <v>0</v>
      </c>
      <c r="H48" s="8">
        <v>43724</v>
      </c>
      <c r="I48" s="8">
        <v>43731</v>
      </c>
      <c r="J48" s="7" t="s">
        <v>18</v>
      </c>
      <c r="K48" s="7">
        <v>505.75</v>
      </c>
      <c r="L48" s="7">
        <v>91.2</v>
      </c>
      <c r="M48" s="7">
        <v>414.55</v>
      </c>
      <c r="N48" s="7">
        <v>-7</v>
      </c>
      <c r="O48" s="10">
        <f t="shared" si="1"/>
        <v>-2901.85</v>
      </c>
      <c r="P48" s="5" t="s">
        <v>19</v>
      </c>
      <c r="Q48" s="11"/>
      <c r="R48" s="5" t="s">
        <v>81</v>
      </c>
    </row>
    <row r="49" spans="1:18" s="5" customFormat="1" x14ac:dyDescent="0.25">
      <c r="A49" s="6" t="s">
        <v>56</v>
      </c>
      <c r="B49" s="7">
        <v>1469</v>
      </c>
      <c r="C49" s="8">
        <v>43722</v>
      </c>
      <c r="D49" s="7" t="s">
        <v>91</v>
      </c>
      <c r="E49" s="8">
        <v>43709</v>
      </c>
      <c r="F49" s="7">
        <v>0</v>
      </c>
      <c r="G49" s="7">
        <v>0</v>
      </c>
      <c r="H49" s="8">
        <v>43724</v>
      </c>
      <c r="I49" s="8">
        <v>43731</v>
      </c>
      <c r="J49" s="7" t="s">
        <v>18</v>
      </c>
      <c r="K49" s="9">
        <v>2887.57</v>
      </c>
      <c r="L49" s="7">
        <v>520.71</v>
      </c>
      <c r="M49" s="9">
        <v>2366.86</v>
      </c>
      <c r="N49" s="7">
        <v>-7</v>
      </c>
      <c r="O49" s="10">
        <f t="shared" si="1"/>
        <v>-16568.02</v>
      </c>
      <c r="P49" s="5" t="s">
        <v>19</v>
      </c>
      <c r="Q49" s="11"/>
      <c r="R49" s="5" t="s">
        <v>81</v>
      </c>
    </row>
    <row r="50" spans="1:18" s="5" customFormat="1" x14ac:dyDescent="0.25">
      <c r="A50" s="6" t="s">
        <v>56</v>
      </c>
      <c r="B50" s="7">
        <v>1408</v>
      </c>
      <c r="C50" s="8">
        <v>43690</v>
      </c>
      <c r="D50" s="7" t="s">
        <v>92</v>
      </c>
      <c r="E50" s="8">
        <v>43678</v>
      </c>
      <c r="F50" s="7">
        <v>0</v>
      </c>
      <c r="G50" s="7">
        <v>0</v>
      </c>
      <c r="H50" s="8">
        <v>43690</v>
      </c>
      <c r="I50" s="8">
        <v>43698</v>
      </c>
      <c r="J50" s="7" t="s">
        <v>18</v>
      </c>
      <c r="K50" s="7">
        <v>270.12</v>
      </c>
      <c r="L50" s="7">
        <v>48.71</v>
      </c>
      <c r="M50" s="7">
        <v>221.41</v>
      </c>
      <c r="N50" s="7">
        <v>-8</v>
      </c>
      <c r="O50" s="10">
        <f t="shared" si="1"/>
        <v>-1771.28</v>
      </c>
      <c r="P50" s="5" t="s">
        <v>19</v>
      </c>
      <c r="Q50" s="11"/>
      <c r="R50" s="5" t="s">
        <v>81</v>
      </c>
    </row>
    <row r="51" spans="1:18" s="5" customFormat="1" x14ac:dyDescent="0.25">
      <c r="A51" s="6" t="s">
        <v>56</v>
      </c>
      <c r="B51" s="7">
        <v>1411</v>
      </c>
      <c r="C51" s="8">
        <v>43690</v>
      </c>
      <c r="D51" s="7" t="s">
        <v>93</v>
      </c>
      <c r="E51" s="8">
        <v>43678</v>
      </c>
      <c r="F51" s="7">
        <v>0</v>
      </c>
      <c r="G51" s="7">
        <v>0</v>
      </c>
      <c r="H51" s="8">
        <v>43690</v>
      </c>
      <c r="I51" s="8">
        <v>43698</v>
      </c>
      <c r="J51" s="7" t="s">
        <v>18</v>
      </c>
      <c r="K51" s="7">
        <v>443.04</v>
      </c>
      <c r="L51" s="7">
        <v>79.89</v>
      </c>
      <c r="M51" s="7">
        <v>363.15</v>
      </c>
      <c r="N51" s="7">
        <v>-8</v>
      </c>
      <c r="O51" s="10">
        <f t="shared" si="1"/>
        <v>-2905.2</v>
      </c>
      <c r="P51" s="5" t="s">
        <v>19</v>
      </c>
      <c r="Q51" s="11"/>
      <c r="R51" s="5" t="s">
        <v>81</v>
      </c>
    </row>
    <row r="52" spans="1:18" s="5" customFormat="1" x14ac:dyDescent="0.25">
      <c r="A52" s="6" t="s">
        <v>56</v>
      </c>
      <c r="B52" s="7">
        <v>1407</v>
      </c>
      <c r="C52" s="8">
        <v>43690</v>
      </c>
      <c r="D52" s="7" t="s">
        <v>94</v>
      </c>
      <c r="E52" s="8">
        <v>43678</v>
      </c>
      <c r="F52" s="7">
        <v>0</v>
      </c>
      <c r="G52" s="7">
        <v>0</v>
      </c>
      <c r="H52" s="8">
        <v>43690</v>
      </c>
      <c r="I52" s="8">
        <v>43698</v>
      </c>
      <c r="J52" s="7" t="s">
        <v>18</v>
      </c>
      <c r="K52" s="7">
        <v>289.04000000000002</v>
      </c>
      <c r="L52" s="7">
        <v>52.12</v>
      </c>
      <c r="M52" s="7">
        <v>236.92</v>
      </c>
      <c r="N52" s="7">
        <v>-8</v>
      </c>
      <c r="O52" s="10">
        <f t="shared" si="1"/>
        <v>-1895.36</v>
      </c>
      <c r="P52" s="5" t="s">
        <v>19</v>
      </c>
      <c r="Q52" s="11"/>
      <c r="R52" s="5" t="s">
        <v>81</v>
      </c>
    </row>
    <row r="53" spans="1:18" s="5" customFormat="1" x14ac:dyDescent="0.25">
      <c r="A53" s="6" t="s">
        <v>56</v>
      </c>
      <c r="B53" s="7">
        <v>1413</v>
      </c>
      <c r="C53" s="8">
        <v>43690</v>
      </c>
      <c r="D53" s="7" t="s">
        <v>95</v>
      </c>
      <c r="E53" s="8">
        <v>43678</v>
      </c>
      <c r="F53" s="7">
        <v>0</v>
      </c>
      <c r="G53" s="7">
        <v>0</v>
      </c>
      <c r="H53" s="8">
        <v>43690</v>
      </c>
      <c r="I53" s="8">
        <v>43698</v>
      </c>
      <c r="J53" s="7" t="s">
        <v>18</v>
      </c>
      <c r="K53" s="7">
        <v>260.19</v>
      </c>
      <c r="L53" s="7">
        <v>46.92</v>
      </c>
      <c r="M53" s="7">
        <v>213.27</v>
      </c>
      <c r="N53" s="7">
        <v>-8</v>
      </c>
      <c r="O53" s="10">
        <f t="shared" si="1"/>
        <v>-1706.16</v>
      </c>
      <c r="P53" s="5" t="s">
        <v>19</v>
      </c>
      <c r="Q53" s="11"/>
      <c r="R53" s="5" t="s">
        <v>81</v>
      </c>
    </row>
    <row r="54" spans="1:18" s="5" customFormat="1" x14ac:dyDescent="0.25">
      <c r="A54" s="6" t="s">
        <v>56</v>
      </c>
      <c r="B54" s="7">
        <v>1415</v>
      </c>
      <c r="C54" s="8">
        <v>43690</v>
      </c>
      <c r="D54" s="7" t="s">
        <v>96</v>
      </c>
      <c r="E54" s="8">
        <v>43678</v>
      </c>
      <c r="F54" s="7">
        <v>0</v>
      </c>
      <c r="G54" s="7">
        <v>0</v>
      </c>
      <c r="H54" s="8">
        <v>43690</v>
      </c>
      <c r="I54" s="8">
        <v>43698</v>
      </c>
      <c r="J54" s="7" t="s">
        <v>18</v>
      </c>
      <c r="K54" s="7">
        <v>519.04999999999995</v>
      </c>
      <c r="L54" s="7">
        <v>93.6</v>
      </c>
      <c r="M54" s="7">
        <v>425.45</v>
      </c>
      <c r="N54" s="7">
        <v>-8</v>
      </c>
      <c r="O54" s="10">
        <f t="shared" si="1"/>
        <v>-3403.6</v>
      </c>
      <c r="P54" s="5" t="s">
        <v>19</v>
      </c>
      <c r="Q54" s="11"/>
      <c r="R54" s="5" t="s">
        <v>81</v>
      </c>
    </row>
    <row r="55" spans="1:18" s="5" customFormat="1" x14ac:dyDescent="0.25">
      <c r="A55" s="6" t="s">
        <v>56</v>
      </c>
      <c r="B55" s="7">
        <v>1410</v>
      </c>
      <c r="C55" s="8">
        <v>43690</v>
      </c>
      <c r="D55" s="7" t="s">
        <v>97</v>
      </c>
      <c r="E55" s="8">
        <v>43678</v>
      </c>
      <c r="F55" s="7">
        <v>0</v>
      </c>
      <c r="G55" s="7">
        <v>0</v>
      </c>
      <c r="H55" s="8">
        <v>43690</v>
      </c>
      <c r="I55" s="8">
        <v>43698</v>
      </c>
      <c r="J55" s="7" t="s">
        <v>18</v>
      </c>
      <c r="K55" s="9">
        <v>2682.77</v>
      </c>
      <c r="L55" s="7">
        <v>483.78</v>
      </c>
      <c r="M55" s="9">
        <v>2198.9899999999998</v>
      </c>
      <c r="N55" s="7">
        <v>-8</v>
      </c>
      <c r="O55" s="10">
        <f t="shared" si="1"/>
        <v>-17591.919999999998</v>
      </c>
      <c r="P55" s="5" t="s">
        <v>19</v>
      </c>
      <c r="Q55" s="11"/>
      <c r="R55" s="5" t="s">
        <v>81</v>
      </c>
    </row>
    <row r="56" spans="1:18" s="5" customFormat="1" x14ac:dyDescent="0.25">
      <c r="A56" s="6" t="s">
        <v>56</v>
      </c>
      <c r="B56" s="7">
        <v>1409</v>
      </c>
      <c r="C56" s="8">
        <v>43690</v>
      </c>
      <c r="D56" s="7" t="s">
        <v>98</v>
      </c>
      <c r="E56" s="8">
        <v>43678</v>
      </c>
      <c r="F56" s="7">
        <v>0</v>
      </c>
      <c r="G56" s="7">
        <v>0</v>
      </c>
      <c r="H56" s="8">
        <v>43690</v>
      </c>
      <c r="I56" s="8">
        <v>43698</v>
      </c>
      <c r="J56" s="7" t="s">
        <v>18</v>
      </c>
      <c r="K56" s="7">
        <v>630.72</v>
      </c>
      <c r="L56" s="7">
        <v>113.74</v>
      </c>
      <c r="M56" s="7">
        <v>516.98</v>
      </c>
      <c r="N56" s="7">
        <v>-8</v>
      </c>
      <c r="O56" s="10">
        <f t="shared" si="1"/>
        <v>-4135.84</v>
      </c>
      <c r="P56" s="5" t="s">
        <v>19</v>
      </c>
      <c r="Q56" s="11"/>
      <c r="R56" s="5" t="s">
        <v>81</v>
      </c>
    </row>
    <row r="57" spans="1:18" s="5" customFormat="1" x14ac:dyDescent="0.25">
      <c r="A57" s="6" t="s">
        <v>56</v>
      </c>
      <c r="B57" s="7">
        <v>1416</v>
      </c>
      <c r="C57" s="8">
        <v>43690</v>
      </c>
      <c r="D57" s="7" t="s">
        <v>99</v>
      </c>
      <c r="E57" s="8">
        <v>43678</v>
      </c>
      <c r="F57" s="7">
        <v>0</v>
      </c>
      <c r="G57" s="7">
        <v>0</v>
      </c>
      <c r="H57" s="8">
        <v>43690</v>
      </c>
      <c r="I57" s="8">
        <v>43698</v>
      </c>
      <c r="J57" s="7" t="s">
        <v>18</v>
      </c>
      <c r="K57" s="7">
        <v>327.01</v>
      </c>
      <c r="L57" s="7">
        <v>58.97</v>
      </c>
      <c r="M57" s="7">
        <v>268.04000000000002</v>
      </c>
      <c r="N57" s="7">
        <v>-8</v>
      </c>
      <c r="O57" s="10">
        <f t="shared" si="1"/>
        <v>-2144.3200000000002</v>
      </c>
      <c r="P57" s="5" t="s">
        <v>19</v>
      </c>
      <c r="Q57" s="11"/>
      <c r="R57" s="5" t="s">
        <v>81</v>
      </c>
    </row>
    <row r="58" spans="1:18" s="5" customFormat="1" x14ac:dyDescent="0.25">
      <c r="A58" s="6" t="s">
        <v>56</v>
      </c>
      <c r="B58" s="7">
        <v>1414</v>
      </c>
      <c r="C58" s="8">
        <v>43690</v>
      </c>
      <c r="D58" s="7" t="s">
        <v>100</v>
      </c>
      <c r="E58" s="8">
        <v>43678</v>
      </c>
      <c r="F58" s="7">
        <v>0</v>
      </c>
      <c r="G58" s="7">
        <v>0</v>
      </c>
      <c r="H58" s="8">
        <v>43690</v>
      </c>
      <c r="I58" s="8">
        <v>43698</v>
      </c>
      <c r="J58" s="7" t="s">
        <v>18</v>
      </c>
      <c r="K58" s="7">
        <v>204.69</v>
      </c>
      <c r="L58" s="7">
        <v>36.909999999999997</v>
      </c>
      <c r="M58" s="7">
        <v>167.78</v>
      </c>
      <c r="N58" s="7">
        <v>-8</v>
      </c>
      <c r="O58" s="10">
        <f t="shared" si="1"/>
        <v>-1342.24</v>
      </c>
      <c r="P58" s="5" t="s">
        <v>19</v>
      </c>
      <c r="Q58" s="11"/>
      <c r="R58" s="5" t="s">
        <v>81</v>
      </c>
    </row>
    <row r="59" spans="1:18" s="5" customFormat="1" x14ac:dyDescent="0.25">
      <c r="A59" s="6" t="s">
        <v>56</v>
      </c>
      <c r="B59" s="7">
        <v>1417</v>
      </c>
      <c r="C59" s="8">
        <v>43690</v>
      </c>
      <c r="D59" s="7" t="s">
        <v>101</v>
      </c>
      <c r="E59" s="8">
        <v>43678</v>
      </c>
      <c r="F59" s="7">
        <v>0</v>
      </c>
      <c r="G59" s="7">
        <v>0</v>
      </c>
      <c r="H59" s="8">
        <v>43690</v>
      </c>
      <c r="I59" s="8">
        <v>43698</v>
      </c>
      <c r="J59" s="7" t="s">
        <v>18</v>
      </c>
      <c r="K59" s="7">
        <v>425.99</v>
      </c>
      <c r="L59" s="7">
        <v>76.819999999999993</v>
      </c>
      <c r="M59" s="7">
        <v>349.17</v>
      </c>
      <c r="N59" s="7">
        <v>-8</v>
      </c>
      <c r="O59" s="10">
        <f t="shared" si="1"/>
        <v>-2793.36</v>
      </c>
      <c r="P59" s="5" t="s">
        <v>19</v>
      </c>
      <c r="Q59" s="11"/>
      <c r="R59" s="5" t="s">
        <v>81</v>
      </c>
    </row>
    <row r="60" spans="1:18" s="5" customFormat="1" x14ac:dyDescent="0.25">
      <c r="A60" s="6" t="s">
        <v>56</v>
      </c>
      <c r="B60" s="7">
        <v>1412</v>
      </c>
      <c r="C60" s="8">
        <v>43690</v>
      </c>
      <c r="D60" s="7" t="s">
        <v>102</v>
      </c>
      <c r="E60" s="8">
        <v>43678</v>
      </c>
      <c r="F60" s="7">
        <v>0</v>
      </c>
      <c r="G60" s="7">
        <v>0</v>
      </c>
      <c r="H60" s="8">
        <v>43690</v>
      </c>
      <c r="I60" s="8">
        <v>43698</v>
      </c>
      <c r="J60" s="7" t="s">
        <v>18</v>
      </c>
      <c r="K60" s="7">
        <v>360.88</v>
      </c>
      <c r="L60" s="7">
        <v>65.08</v>
      </c>
      <c r="M60" s="7">
        <v>295.8</v>
      </c>
      <c r="N60" s="7">
        <v>-8</v>
      </c>
      <c r="O60" s="10">
        <f t="shared" si="1"/>
        <v>-2366.4</v>
      </c>
      <c r="P60" s="5" t="s">
        <v>19</v>
      </c>
      <c r="Q60" s="11"/>
      <c r="R60" s="5" t="s">
        <v>81</v>
      </c>
    </row>
    <row r="61" spans="1:18" s="5" customFormat="1" x14ac:dyDescent="0.25">
      <c r="A61" s="6" t="s">
        <v>103</v>
      </c>
      <c r="B61" s="7">
        <v>1281</v>
      </c>
      <c r="C61" s="8">
        <v>43672</v>
      </c>
      <c r="D61" s="7" t="s">
        <v>104</v>
      </c>
      <c r="E61" s="8">
        <v>43645</v>
      </c>
      <c r="F61" s="7">
        <v>0</v>
      </c>
      <c r="G61" s="7">
        <v>0</v>
      </c>
      <c r="H61" s="8">
        <v>43672</v>
      </c>
      <c r="I61" s="8">
        <v>43682</v>
      </c>
      <c r="J61" s="7" t="s">
        <v>18</v>
      </c>
      <c r="K61" s="7">
        <v>97.91</v>
      </c>
      <c r="L61" s="7">
        <v>17.66</v>
      </c>
      <c r="M61" s="7">
        <v>80.25</v>
      </c>
      <c r="N61" s="7">
        <v>-10</v>
      </c>
      <c r="O61" s="10">
        <f t="shared" si="1"/>
        <v>-802.5</v>
      </c>
      <c r="P61" s="5" t="s">
        <v>19</v>
      </c>
      <c r="Q61" s="11"/>
      <c r="R61" s="5" t="s">
        <v>105</v>
      </c>
    </row>
    <row r="62" spans="1:18" s="5" customFormat="1" x14ac:dyDescent="0.25">
      <c r="A62" s="6" t="s">
        <v>106</v>
      </c>
      <c r="B62" s="7">
        <v>1583</v>
      </c>
      <c r="C62" s="8">
        <v>43736</v>
      </c>
      <c r="D62" s="7" t="s">
        <v>107</v>
      </c>
      <c r="E62" s="8">
        <v>43718</v>
      </c>
      <c r="F62" s="7">
        <v>0</v>
      </c>
      <c r="G62" s="7">
        <v>0</v>
      </c>
      <c r="H62" s="8">
        <v>43738</v>
      </c>
      <c r="I62" s="8">
        <v>43748</v>
      </c>
      <c r="J62" s="7" t="s">
        <v>18</v>
      </c>
      <c r="K62" s="9">
        <v>13485</v>
      </c>
      <c r="L62" s="9">
        <v>2431.7199999999998</v>
      </c>
      <c r="M62" s="9">
        <v>11053.28</v>
      </c>
      <c r="N62" s="7">
        <v>-10</v>
      </c>
      <c r="O62" s="10">
        <f t="shared" si="1"/>
        <v>-110532.8</v>
      </c>
      <c r="P62" s="5" t="s">
        <v>19</v>
      </c>
      <c r="Q62" s="11"/>
      <c r="R62" s="5" t="s">
        <v>108</v>
      </c>
    </row>
    <row r="63" spans="1:18" s="5" customFormat="1" ht="25.5" x14ac:dyDescent="0.25">
      <c r="A63" s="6" t="s">
        <v>32</v>
      </c>
      <c r="B63" s="7">
        <v>1295</v>
      </c>
      <c r="C63" s="8">
        <v>43677</v>
      </c>
      <c r="D63" s="7" t="str">
        <f>"8019093928"</f>
        <v>8019093928</v>
      </c>
      <c r="E63" s="8">
        <v>43657</v>
      </c>
      <c r="F63" s="7">
        <v>0</v>
      </c>
      <c r="G63" s="7">
        <v>0</v>
      </c>
      <c r="H63" s="8">
        <v>43677</v>
      </c>
      <c r="I63" s="8">
        <v>43688</v>
      </c>
      <c r="J63" s="7" t="s">
        <v>18</v>
      </c>
      <c r="K63" s="7">
        <v>1.1299999999999999</v>
      </c>
      <c r="L63" s="7">
        <v>1.1299999999999999</v>
      </c>
      <c r="M63" s="7">
        <v>0</v>
      </c>
      <c r="N63" s="7">
        <v>-11</v>
      </c>
      <c r="O63" s="10">
        <f t="shared" si="1"/>
        <v>0</v>
      </c>
      <c r="P63" s="5" t="s">
        <v>19</v>
      </c>
      <c r="Q63" s="11"/>
      <c r="R63" s="5" t="s">
        <v>33</v>
      </c>
    </row>
    <row r="64" spans="1:18" s="5" customFormat="1" x14ac:dyDescent="0.25">
      <c r="A64" s="6" t="s">
        <v>109</v>
      </c>
      <c r="B64" s="7">
        <v>1386</v>
      </c>
      <c r="C64" s="8">
        <v>43689</v>
      </c>
      <c r="D64" s="7" t="s">
        <v>110</v>
      </c>
      <c r="E64" s="8">
        <v>43661</v>
      </c>
      <c r="F64" s="7">
        <v>0</v>
      </c>
      <c r="G64" s="7">
        <v>0</v>
      </c>
      <c r="H64" s="8">
        <v>43690</v>
      </c>
      <c r="I64" s="8">
        <v>43701</v>
      </c>
      <c r="J64" s="7" t="s">
        <v>18</v>
      </c>
      <c r="K64" s="7">
        <v>695.4</v>
      </c>
      <c r="L64" s="7">
        <v>125.4</v>
      </c>
      <c r="M64" s="7">
        <v>570</v>
      </c>
      <c r="N64" s="7">
        <v>-11</v>
      </c>
      <c r="O64" s="10">
        <f t="shared" si="1"/>
        <v>-6270</v>
      </c>
      <c r="P64" s="5" t="s">
        <v>19</v>
      </c>
      <c r="Q64" s="11"/>
      <c r="R64" s="5" t="s">
        <v>20</v>
      </c>
    </row>
    <row r="65" spans="1:18" s="5" customFormat="1" x14ac:dyDescent="0.25">
      <c r="A65" s="6" t="s">
        <v>111</v>
      </c>
      <c r="B65" s="7">
        <v>1153</v>
      </c>
      <c r="C65" s="8">
        <v>43664</v>
      </c>
      <c r="D65" s="7" t="s">
        <v>112</v>
      </c>
      <c r="E65" s="8">
        <v>43641</v>
      </c>
      <c r="F65" s="7">
        <v>0</v>
      </c>
      <c r="G65" s="7">
        <v>0</v>
      </c>
      <c r="H65" s="8">
        <v>43664</v>
      </c>
      <c r="I65" s="8">
        <v>43675</v>
      </c>
      <c r="J65" s="7" t="s">
        <v>18</v>
      </c>
      <c r="K65" s="9">
        <v>1927.6</v>
      </c>
      <c r="L65" s="7">
        <v>347.6</v>
      </c>
      <c r="M65" s="9">
        <v>1580</v>
      </c>
      <c r="N65" s="7">
        <v>-11</v>
      </c>
      <c r="O65" s="10">
        <f t="shared" si="1"/>
        <v>-17380</v>
      </c>
      <c r="P65" s="5" t="s">
        <v>19</v>
      </c>
      <c r="Q65" s="11"/>
      <c r="R65" s="5" t="s">
        <v>113</v>
      </c>
    </row>
    <row r="66" spans="1:18" s="5" customFormat="1" x14ac:dyDescent="0.25">
      <c r="A66" s="6" t="s">
        <v>25</v>
      </c>
      <c r="B66" s="7">
        <v>1483</v>
      </c>
      <c r="C66" s="8">
        <v>43724</v>
      </c>
      <c r="D66" s="7" t="str">
        <f>"41903186433"</f>
        <v>41903186433</v>
      </c>
      <c r="E66" s="8">
        <v>43700</v>
      </c>
      <c r="F66" s="7">
        <v>0</v>
      </c>
      <c r="G66" s="7">
        <v>0</v>
      </c>
      <c r="H66" s="8">
        <v>43724</v>
      </c>
      <c r="I66" s="8">
        <v>43735</v>
      </c>
      <c r="J66" s="7" t="s">
        <v>18</v>
      </c>
      <c r="K66" s="7">
        <v>69.2</v>
      </c>
      <c r="L66" s="7">
        <v>12.48</v>
      </c>
      <c r="M66" s="7">
        <v>56.72</v>
      </c>
      <c r="N66" s="7">
        <v>-11</v>
      </c>
      <c r="O66" s="10">
        <f t="shared" si="1"/>
        <v>-623.91999999999996</v>
      </c>
      <c r="P66" s="5" t="s">
        <v>19</v>
      </c>
      <c r="Q66" s="11"/>
      <c r="R66" s="5" t="s">
        <v>26</v>
      </c>
    </row>
    <row r="67" spans="1:18" s="5" customFormat="1" ht="25.5" x14ac:dyDescent="0.25">
      <c r="A67" s="6" t="s">
        <v>32</v>
      </c>
      <c r="B67" s="7">
        <v>1295</v>
      </c>
      <c r="C67" s="8">
        <v>43677</v>
      </c>
      <c r="D67" s="7" t="str">
        <f>"8019094462"</f>
        <v>8019094462</v>
      </c>
      <c r="E67" s="8">
        <v>43657</v>
      </c>
      <c r="F67" s="7">
        <v>0</v>
      </c>
      <c r="G67" s="7">
        <v>0</v>
      </c>
      <c r="H67" s="8">
        <v>43677</v>
      </c>
      <c r="I67" s="8">
        <v>43689</v>
      </c>
      <c r="J67" s="7" t="s">
        <v>18</v>
      </c>
      <c r="K67" s="7">
        <v>7.44</v>
      </c>
      <c r="L67" s="7">
        <v>7.44</v>
      </c>
      <c r="M67" s="7">
        <v>0</v>
      </c>
      <c r="N67" s="7">
        <v>-12</v>
      </c>
      <c r="O67" s="10">
        <f t="shared" ref="O67:O130" si="2">+N67*M67</f>
        <v>0</v>
      </c>
      <c r="P67" s="5" t="s">
        <v>19</v>
      </c>
      <c r="Q67" s="11"/>
      <c r="R67" s="5" t="s">
        <v>33</v>
      </c>
    </row>
    <row r="68" spans="1:18" s="5" customFormat="1" x14ac:dyDescent="0.25">
      <c r="A68" s="6" t="s">
        <v>114</v>
      </c>
      <c r="B68" s="7">
        <v>1441</v>
      </c>
      <c r="C68" s="8">
        <v>43712</v>
      </c>
      <c r="D68" s="7" t="str">
        <f>"127"</f>
        <v>127</v>
      </c>
      <c r="E68" s="8">
        <v>43642</v>
      </c>
      <c r="F68" s="7">
        <v>0</v>
      </c>
      <c r="G68" s="7">
        <v>0</v>
      </c>
      <c r="H68" s="8">
        <v>43712</v>
      </c>
      <c r="I68" s="8">
        <v>43724</v>
      </c>
      <c r="J68" s="7" t="s">
        <v>18</v>
      </c>
      <c r="K68" s="7">
        <v>322</v>
      </c>
      <c r="L68" s="7">
        <v>0</v>
      </c>
      <c r="M68" s="7">
        <v>322</v>
      </c>
      <c r="N68" s="7">
        <v>-12</v>
      </c>
      <c r="O68" s="10">
        <f t="shared" si="2"/>
        <v>-3864</v>
      </c>
      <c r="P68" s="5" t="s">
        <v>19</v>
      </c>
      <c r="Q68" s="11"/>
      <c r="R68" s="5" t="s">
        <v>113</v>
      </c>
    </row>
    <row r="69" spans="1:18" s="5" customFormat="1" x14ac:dyDescent="0.25">
      <c r="A69" s="6" t="s">
        <v>115</v>
      </c>
      <c r="B69" s="7">
        <v>1426</v>
      </c>
      <c r="C69" s="8">
        <v>43691</v>
      </c>
      <c r="D69" s="7" t="str">
        <f>"01005654"</f>
        <v>01005654</v>
      </c>
      <c r="E69" s="8">
        <v>43670</v>
      </c>
      <c r="F69" s="7">
        <v>0</v>
      </c>
      <c r="G69" s="7">
        <v>0</v>
      </c>
      <c r="H69" s="8">
        <v>43691</v>
      </c>
      <c r="I69" s="8">
        <v>43705</v>
      </c>
      <c r="J69" s="7" t="s">
        <v>18</v>
      </c>
      <c r="K69" s="7">
        <v>853.27</v>
      </c>
      <c r="L69" s="7">
        <v>153.87</v>
      </c>
      <c r="M69" s="7">
        <v>699.4</v>
      </c>
      <c r="N69" s="7">
        <v>-14</v>
      </c>
      <c r="O69" s="10">
        <f t="shared" si="2"/>
        <v>-9791.6</v>
      </c>
      <c r="P69" s="5" t="s">
        <v>19</v>
      </c>
      <c r="Q69" s="11"/>
      <c r="R69" s="5" t="s">
        <v>50</v>
      </c>
    </row>
    <row r="70" spans="1:18" s="5" customFormat="1" x14ac:dyDescent="0.25">
      <c r="A70" s="6" t="s">
        <v>66</v>
      </c>
      <c r="B70" s="7">
        <v>1427</v>
      </c>
      <c r="C70" s="8">
        <v>43691</v>
      </c>
      <c r="D70" s="7" t="s">
        <v>116</v>
      </c>
      <c r="E70" s="8">
        <v>43675</v>
      </c>
      <c r="F70" s="7">
        <v>0</v>
      </c>
      <c r="G70" s="7">
        <v>0</v>
      </c>
      <c r="H70" s="8">
        <v>43691</v>
      </c>
      <c r="I70" s="8">
        <v>43705</v>
      </c>
      <c r="J70" s="7" t="s">
        <v>18</v>
      </c>
      <c r="K70" s="9">
        <v>7648.83</v>
      </c>
      <c r="L70" s="9">
        <v>1379.3</v>
      </c>
      <c r="M70" s="9">
        <v>6269.53</v>
      </c>
      <c r="N70" s="7">
        <v>-14</v>
      </c>
      <c r="O70" s="10">
        <f t="shared" si="2"/>
        <v>-87773.42</v>
      </c>
      <c r="P70" s="5" t="s">
        <v>19</v>
      </c>
      <c r="Q70" s="11"/>
      <c r="R70" s="5" t="s">
        <v>68</v>
      </c>
    </row>
    <row r="71" spans="1:18" s="5" customFormat="1" x14ac:dyDescent="0.25">
      <c r="A71" s="6" t="s">
        <v>25</v>
      </c>
      <c r="B71" s="7">
        <v>1418</v>
      </c>
      <c r="C71" s="8">
        <v>43690</v>
      </c>
      <c r="D71" s="7" t="str">
        <f>"41902763420"</f>
        <v>41902763420</v>
      </c>
      <c r="E71" s="8">
        <v>43669</v>
      </c>
      <c r="F71" s="7">
        <v>0</v>
      </c>
      <c r="G71" s="7">
        <v>0</v>
      </c>
      <c r="H71" s="8">
        <v>43690</v>
      </c>
      <c r="I71" s="8">
        <v>43704</v>
      </c>
      <c r="J71" s="7" t="s">
        <v>18</v>
      </c>
      <c r="K71" s="7">
        <v>143.31</v>
      </c>
      <c r="L71" s="7">
        <v>25.84</v>
      </c>
      <c r="M71" s="7">
        <v>117.47</v>
      </c>
      <c r="N71" s="7">
        <v>-14</v>
      </c>
      <c r="O71" s="10">
        <f t="shared" si="2"/>
        <v>-1644.58</v>
      </c>
      <c r="P71" s="5" t="s">
        <v>19</v>
      </c>
      <c r="Q71" s="11"/>
      <c r="R71" s="5" t="s">
        <v>26</v>
      </c>
    </row>
    <row r="72" spans="1:18" s="5" customFormat="1" x14ac:dyDescent="0.25">
      <c r="A72" s="6" t="s">
        <v>117</v>
      </c>
      <c r="B72" s="7">
        <v>1282</v>
      </c>
      <c r="C72" s="8">
        <v>43672</v>
      </c>
      <c r="D72" s="7" t="str">
        <f>"0002130838"</f>
        <v>0002130838</v>
      </c>
      <c r="E72" s="8">
        <v>43646</v>
      </c>
      <c r="F72" s="7">
        <v>0</v>
      </c>
      <c r="G72" s="7">
        <v>0</v>
      </c>
      <c r="H72" s="8">
        <v>43672</v>
      </c>
      <c r="I72" s="8">
        <v>43687</v>
      </c>
      <c r="J72" s="7" t="s">
        <v>18</v>
      </c>
      <c r="K72" s="7">
        <v>117.12</v>
      </c>
      <c r="L72" s="7">
        <v>21.12</v>
      </c>
      <c r="M72" s="7">
        <v>96</v>
      </c>
      <c r="N72" s="7">
        <v>-15</v>
      </c>
      <c r="O72" s="10">
        <f t="shared" si="2"/>
        <v>-1440</v>
      </c>
      <c r="P72" s="5" t="s">
        <v>19</v>
      </c>
      <c r="Q72" s="11"/>
      <c r="R72" s="5" t="s">
        <v>118</v>
      </c>
    </row>
    <row r="73" spans="1:18" s="5" customFormat="1" x14ac:dyDescent="0.25">
      <c r="A73" s="6" t="s">
        <v>119</v>
      </c>
      <c r="B73" s="7">
        <v>1432</v>
      </c>
      <c r="C73" s="8">
        <v>43693</v>
      </c>
      <c r="D73" s="7" t="str">
        <f>"12827"</f>
        <v>12827</v>
      </c>
      <c r="E73" s="8">
        <v>43677</v>
      </c>
      <c r="F73" s="7">
        <v>0</v>
      </c>
      <c r="G73" s="7">
        <v>0</v>
      </c>
      <c r="H73" s="8">
        <v>43693</v>
      </c>
      <c r="I73" s="8">
        <v>43708</v>
      </c>
      <c r="J73" s="7" t="s">
        <v>18</v>
      </c>
      <c r="K73" s="7">
        <v>364.98</v>
      </c>
      <c r="L73" s="7">
        <v>0</v>
      </c>
      <c r="M73" s="7">
        <v>364.98</v>
      </c>
      <c r="N73" s="7">
        <v>-15</v>
      </c>
      <c r="O73" s="10">
        <f t="shared" si="2"/>
        <v>-5474.7000000000007</v>
      </c>
      <c r="P73" s="5" t="s">
        <v>19</v>
      </c>
      <c r="Q73" s="11"/>
      <c r="R73" s="5" t="s">
        <v>15</v>
      </c>
    </row>
    <row r="74" spans="1:18" s="5" customFormat="1" x14ac:dyDescent="0.25">
      <c r="A74" s="6" t="s">
        <v>120</v>
      </c>
      <c r="B74" s="7">
        <v>1165</v>
      </c>
      <c r="C74" s="8">
        <v>43664</v>
      </c>
      <c r="D74" s="7" t="str">
        <f>"19141"</f>
        <v>19141</v>
      </c>
      <c r="E74" s="8">
        <v>43650</v>
      </c>
      <c r="F74" s="7">
        <v>0</v>
      </c>
      <c r="G74" s="7">
        <v>0</v>
      </c>
      <c r="H74" s="8">
        <v>43664</v>
      </c>
      <c r="I74" s="8">
        <v>43680</v>
      </c>
      <c r="J74" s="7" t="s">
        <v>18</v>
      </c>
      <c r="K74" s="9">
        <v>1175.43</v>
      </c>
      <c r="L74" s="7">
        <v>211.96</v>
      </c>
      <c r="M74" s="7">
        <v>963.47</v>
      </c>
      <c r="N74" s="7">
        <v>-16</v>
      </c>
      <c r="O74" s="10">
        <f t="shared" si="2"/>
        <v>-15415.52</v>
      </c>
      <c r="P74" s="5" t="s">
        <v>19</v>
      </c>
      <c r="Q74" s="11"/>
      <c r="R74" s="5" t="s">
        <v>81</v>
      </c>
    </row>
    <row r="75" spans="1:18" s="5" customFormat="1" x14ac:dyDescent="0.25">
      <c r="A75" s="6" t="s">
        <v>120</v>
      </c>
      <c r="B75" s="7">
        <v>1164</v>
      </c>
      <c r="C75" s="8">
        <v>43664</v>
      </c>
      <c r="D75" s="7" t="str">
        <f>"19143"</f>
        <v>19143</v>
      </c>
      <c r="E75" s="8">
        <v>43650</v>
      </c>
      <c r="F75" s="7">
        <v>0</v>
      </c>
      <c r="G75" s="7">
        <v>0</v>
      </c>
      <c r="H75" s="8">
        <v>43664</v>
      </c>
      <c r="I75" s="8">
        <v>43680</v>
      </c>
      <c r="J75" s="7" t="s">
        <v>18</v>
      </c>
      <c r="K75" s="7">
        <v>175</v>
      </c>
      <c r="L75" s="7">
        <v>31.56</v>
      </c>
      <c r="M75" s="7">
        <v>143.44</v>
      </c>
      <c r="N75" s="7">
        <v>-16</v>
      </c>
      <c r="O75" s="10">
        <f t="shared" si="2"/>
        <v>-2295.04</v>
      </c>
      <c r="P75" s="5" t="s">
        <v>19</v>
      </c>
      <c r="Q75" s="11"/>
      <c r="R75" s="5" t="s">
        <v>81</v>
      </c>
    </row>
    <row r="76" spans="1:18" s="5" customFormat="1" x14ac:dyDescent="0.25">
      <c r="A76" s="6" t="s">
        <v>121</v>
      </c>
      <c r="B76" s="7">
        <v>1093</v>
      </c>
      <c r="C76" s="8">
        <v>43658</v>
      </c>
      <c r="D76" s="7" t="str">
        <f>"8201064591"</f>
        <v>8201064591</v>
      </c>
      <c r="E76" s="8">
        <v>43643</v>
      </c>
      <c r="F76" s="7">
        <v>0</v>
      </c>
      <c r="G76" s="7">
        <v>0</v>
      </c>
      <c r="H76" s="8">
        <v>43658</v>
      </c>
      <c r="I76" s="8">
        <v>43674</v>
      </c>
      <c r="J76" s="7" t="s">
        <v>18</v>
      </c>
      <c r="K76" s="9">
        <v>1961.28</v>
      </c>
      <c r="L76" s="7">
        <v>353.67</v>
      </c>
      <c r="M76" s="9">
        <v>1607.61</v>
      </c>
      <c r="N76" s="7">
        <v>-16</v>
      </c>
      <c r="O76" s="10">
        <f t="shared" si="2"/>
        <v>-25721.759999999998</v>
      </c>
      <c r="P76" s="5" t="s">
        <v>19</v>
      </c>
      <c r="Q76" s="11"/>
      <c r="R76" s="5" t="s">
        <v>122</v>
      </c>
    </row>
    <row r="77" spans="1:18" s="5" customFormat="1" x14ac:dyDescent="0.25">
      <c r="A77" s="6" t="s">
        <v>56</v>
      </c>
      <c r="B77" s="7">
        <v>1155</v>
      </c>
      <c r="C77" s="8">
        <v>43664</v>
      </c>
      <c r="D77" s="7" t="s">
        <v>123</v>
      </c>
      <c r="E77" s="8">
        <v>43648</v>
      </c>
      <c r="F77" s="7">
        <v>0</v>
      </c>
      <c r="G77" s="7">
        <v>0</v>
      </c>
      <c r="H77" s="8">
        <v>43664</v>
      </c>
      <c r="I77" s="8">
        <v>43680</v>
      </c>
      <c r="J77" s="7" t="s">
        <v>18</v>
      </c>
      <c r="K77" s="7">
        <v>367.05</v>
      </c>
      <c r="L77" s="7">
        <v>66.19</v>
      </c>
      <c r="M77" s="7">
        <v>300.86</v>
      </c>
      <c r="N77" s="7">
        <v>-16</v>
      </c>
      <c r="O77" s="10">
        <f t="shared" si="2"/>
        <v>-4813.76</v>
      </c>
      <c r="P77" s="5" t="s">
        <v>19</v>
      </c>
      <c r="Q77" s="11"/>
      <c r="R77" s="5" t="s">
        <v>58</v>
      </c>
    </row>
    <row r="78" spans="1:18" s="5" customFormat="1" x14ac:dyDescent="0.25">
      <c r="A78" s="6" t="s">
        <v>34</v>
      </c>
      <c r="B78" s="7">
        <v>1424</v>
      </c>
      <c r="C78" s="8">
        <v>43691</v>
      </c>
      <c r="D78" s="7" t="s">
        <v>124</v>
      </c>
      <c r="E78" s="8">
        <v>43671</v>
      </c>
      <c r="F78" s="7">
        <v>0</v>
      </c>
      <c r="G78" s="7">
        <v>0</v>
      </c>
      <c r="H78" s="8">
        <v>43691</v>
      </c>
      <c r="I78" s="8">
        <v>43707</v>
      </c>
      <c r="J78" s="7" t="s">
        <v>18</v>
      </c>
      <c r="K78" s="7">
        <v>766.16</v>
      </c>
      <c r="L78" s="7">
        <v>138.16</v>
      </c>
      <c r="M78" s="7">
        <v>628</v>
      </c>
      <c r="N78" s="7">
        <v>-16</v>
      </c>
      <c r="O78" s="10">
        <f t="shared" si="2"/>
        <v>-10048</v>
      </c>
      <c r="P78" s="5" t="s">
        <v>19</v>
      </c>
      <c r="Q78" s="11"/>
      <c r="R78" s="5" t="s">
        <v>36</v>
      </c>
    </row>
    <row r="79" spans="1:18" s="5" customFormat="1" x14ac:dyDescent="0.25">
      <c r="A79" s="6" t="s">
        <v>120</v>
      </c>
      <c r="B79" s="7">
        <v>1387</v>
      </c>
      <c r="C79" s="8">
        <v>43689</v>
      </c>
      <c r="D79" s="7" t="str">
        <f>"19166"</f>
        <v>19166</v>
      </c>
      <c r="E79" s="8">
        <v>43677</v>
      </c>
      <c r="F79" s="7">
        <v>0</v>
      </c>
      <c r="G79" s="7">
        <v>0</v>
      </c>
      <c r="H79" s="8">
        <v>43690</v>
      </c>
      <c r="I79" s="8">
        <v>43707</v>
      </c>
      <c r="J79" s="7" t="s">
        <v>18</v>
      </c>
      <c r="K79" s="9">
        <v>2193.9699999999998</v>
      </c>
      <c r="L79" s="7">
        <v>395.63</v>
      </c>
      <c r="M79" s="9">
        <v>1798.34</v>
      </c>
      <c r="N79" s="7">
        <v>-17</v>
      </c>
      <c r="O79" s="10">
        <f t="shared" si="2"/>
        <v>-30571.78</v>
      </c>
      <c r="P79" s="5" t="s">
        <v>19</v>
      </c>
      <c r="Q79" s="11"/>
      <c r="R79" s="5" t="s">
        <v>81</v>
      </c>
    </row>
    <row r="80" spans="1:18" s="5" customFormat="1" x14ac:dyDescent="0.25">
      <c r="A80" s="6" t="s">
        <v>120</v>
      </c>
      <c r="B80" s="7">
        <v>1389</v>
      </c>
      <c r="C80" s="8">
        <v>43689</v>
      </c>
      <c r="D80" s="7" t="str">
        <f>"19167"</f>
        <v>19167</v>
      </c>
      <c r="E80" s="8">
        <v>43677</v>
      </c>
      <c r="F80" s="7">
        <v>0</v>
      </c>
      <c r="G80" s="7">
        <v>0</v>
      </c>
      <c r="H80" s="8">
        <v>43690</v>
      </c>
      <c r="I80" s="8">
        <v>43707</v>
      </c>
      <c r="J80" s="7" t="s">
        <v>18</v>
      </c>
      <c r="K80" s="7">
        <v>115.74</v>
      </c>
      <c r="L80" s="7">
        <v>20.87</v>
      </c>
      <c r="M80" s="7">
        <v>94.87</v>
      </c>
      <c r="N80" s="7">
        <v>-17</v>
      </c>
      <c r="O80" s="10">
        <f t="shared" si="2"/>
        <v>-1612.79</v>
      </c>
      <c r="P80" s="5" t="s">
        <v>19</v>
      </c>
      <c r="Q80" s="11"/>
      <c r="R80" s="5" t="s">
        <v>81</v>
      </c>
    </row>
    <row r="81" spans="1:18" s="5" customFormat="1" x14ac:dyDescent="0.25">
      <c r="A81" s="6" t="s">
        <v>120</v>
      </c>
      <c r="B81" s="7">
        <v>1388</v>
      </c>
      <c r="C81" s="8">
        <v>43689</v>
      </c>
      <c r="D81" s="7" t="str">
        <f>"19165"</f>
        <v>19165</v>
      </c>
      <c r="E81" s="8">
        <v>43677</v>
      </c>
      <c r="F81" s="7">
        <v>0</v>
      </c>
      <c r="G81" s="7">
        <v>0</v>
      </c>
      <c r="H81" s="8">
        <v>43690</v>
      </c>
      <c r="I81" s="8">
        <v>43707</v>
      </c>
      <c r="J81" s="7" t="s">
        <v>18</v>
      </c>
      <c r="K81" s="9">
        <v>1122.28</v>
      </c>
      <c r="L81" s="7">
        <v>202.38</v>
      </c>
      <c r="M81" s="7">
        <v>919.9</v>
      </c>
      <c r="N81" s="7">
        <v>-17</v>
      </c>
      <c r="O81" s="10">
        <f t="shared" si="2"/>
        <v>-15638.3</v>
      </c>
      <c r="P81" s="5" t="s">
        <v>19</v>
      </c>
      <c r="Q81" s="11"/>
      <c r="R81" s="5" t="s">
        <v>81</v>
      </c>
    </row>
    <row r="82" spans="1:18" s="5" customFormat="1" x14ac:dyDescent="0.25">
      <c r="A82" s="6" t="s">
        <v>39</v>
      </c>
      <c r="B82" s="7">
        <v>1481</v>
      </c>
      <c r="C82" s="8">
        <v>43722</v>
      </c>
      <c r="D82" s="7" t="s">
        <v>125</v>
      </c>
      <c r="E82" s="8">
        <v>43708</v>
      </c>
      <c r="F82" s="7">
        <v>0</v>
      </c>
      <c r="G82" s="7">
        <v>0</v>
      </c>
      <c r="H82" s="8">
        <v>43724</v>
      </c>
      <c r="I82" s="8">
        <v>43741</v>
      </c>
      <c r="J82" s="7" t="s">
        <v>18</v>
      </c>
      <c r="K82" s="9">
        <v>1392.02</v>
      </c>
      <c r="L82" s="7">
        <v>251.02</v>
      </c>
      <c r="M82" s="9">
        <v>1141</v>
      </c>
      <c r="N82" s="7">
        <v>-17</v>
      </c>
      <c r="O82" s="10">
        <f t="shared" si="2"/>
        <v>-19397</v>
      </c>
      <c r="P82" s="5" t="s">
        <v>19</v>
      </c>
      <c r="Q82" s="11"/>
      <c r="R82" s="5" t="s">
        <v>41</v>
      </c>
    </row>
    <row r="83" spans="1:18" s="5" customFormat="1" x14ac:dyDescent="0.25">
      <c r="A83" s="6" t="s">
        <v>126</v>
      </c>
      <c r="B83" s="7">
        <v>1288</v>
      </c>
      <c r="C83" s="8">
        <v>43672</v>
      </c>
      <c r="D83" s="7" t="str">
        <f>"4"</f>
        <v>4</v>
      </c>
      <c r="E83" s="8">
        <v>43655</v>
      </c>
      <c r="F83" s="7">
        <v>0</v>
      </c>
      <c r="G83" s="7">
        <v>0</v>
      </c>
      <c r="H83" s="8">
        <v>43672</v>
      </c>
      <c r="I83" s="8">
        <v>43689</v>
      </c>
      <c r="J83" s="7" t="s">
        <v>18</v>
      </c>
      <c r="K83" s="9">
        <v>3768.34</v>
      </c>
      <c r="L83" s="7">
        <v>679.54</v>
      </c>
      <c r="M83" s="9">
        <v>3088.8</v>
      </c>
      <c r="N83" s="7">
        <v>-17</v>
      </c>
      <c r="O83" s="10">
        <f t="shared" si="2"/>
        <v>-52509.600000000006</v>
      </c>
      <c r="P83" s="5" t="s">
        <v>19</v>
      </c>
      <c r="Q83" s="11"/>
      <c r="R83" s="5" t="s">
        <v>127</v>
      </c>
    </row>
    <row r="84" spans="1:18" s="5" customFormat="1" x14ac:dyDescent="0.25">
      <c r="A84" s="6" t="s">
        <v>120</v>
      </c>
      <c r="B84" s="7">
        <v>1166</v>
      </c>
      <c r="C84" s="8">
        <v>43664</v>
      </c>
      <c r="D84" s="7" t="str">
        <f>"19142"</f>
        <v>19142</v>
      </c>
      <c r="E84" s="8">
        <v>43650</v>
      </c>
      <c r="F84" s="7">
        <v>0</v>
      </c>
      <c r="G84" s="7">
        <v>0</v>
      </c>
      <c r="H84" s="8">
        <v>43664</v>
      </c>
      <c r="I84" s="8">
        <v>43682</v>
      </c>
      <c r="J84" s="7" t="s">
        <v>18</v>
      </c>
      <c r="K84" s="9">
        <v>2209.5300000000002</v>
      </c>
      <c r="L84" s="7">
        <v>398.44</v>
      </c>
      <c r="M84" s="9">
        <v>1811.09</v>
      </c>
      <c r="N84" s="7">
        <v>-18</v>
      </c>
      <c r="O84" s="10">
        <f t="shared" si="2"/>
        <v>-32599.62</v>
      </c>
      <c r="P84" s="5" t="s">
        <v>19</v>
      </c>
      <c r="Q84" s="11"/>
      <c r="R84" s="5" t="s">
        <v>81</v>
      </c>
    </row>
    <row r="85" spans="1:18" s="5" customFormat="1" x14ac:dyDescent="0.25">
      <c r="A85" s="6" t="s">
        <v>120</v>
      </c>
      <c r="B85" s="7">
        <v>1479</v>
      </c>
      <c r="C85" s="8">
        <v>43722</v>
      </c>
      <c r="D85" s="7" t="str">
        <f>"19185"</f>
        <v>19185</v>
      </c>
      <c r="E85" s="8">
        <v>43712</v>
      </c>
      <c r="F85" s="7">
        <v>0</v>
      </c>
      <c r="G85" s="7">
        <v>0</v>
      </c>
      <c r="H85" s="8">
        <v>43724</v>
      </c>
      <c r="I85" s="8">
        <v>43742</v>
      </c>
      <c r="J85" s="7" t="s">
        <v>18</v>
      </c>
      <c r="K85" s="7">
        <v>102.36</v>
      </c>
      <c r="L85" s="7">
        <v>18.46</v>
      </c>
      <c r="M85" s="7">
        <v>83.9</v>
      </c>
      <c r="N85" s="7">
        <v>-18</v>
      </c>
      <c r="O85" s="10">
        <f t="shared" si="2"/>
        <v>-1510.2</v>
      </c>
      <c r="P85" s="5" t="s">
        <v>19</v>
      </c>
      <c r="Q85" s="11"/>
      <c r="R85" s="5" t="s">
        <v>81</v>
      </c>
    </row>
    <row r="86" spans="1:18" s="5" customFormat="1" ht="25.5" x14ac:dyDescent="0.25">
      <c r="A86" s="6" t="s">
        <v>128</v>
      </c>
      <c r="B86" s="7">
        <v>1569</v>
      </c>
      <c r="C86" s="8">
        <v>43727</v>
      </c>
      <c r="D86" s="7" t="s">
        <v>129</v>
      </c>
      <c r="E86" s="8">
        <v>43715</v>
      </c>
      <c r="F86" s="7">
        <v>0</v>
      </c>
      <c r="G86" s="7">
        <v>0</v>
      </c>
      <c r="H86" s="8">
        <v>43727</v>
      </c>
      <c r="I86" s="8">
        <v>43745</v>
      </c>
      <c r="J86" s="7" t="s">
        <v>18</v>
      </c>
      <c r="K86" s="7">
        <v>943.5</v>
      </c>
      <c r="L86" s="7">
        <v>0</v>
      </c>
      <c r="M86" s="7">
        <v>943.5</v>
      </c>
      <c r="N86" s="7">
        <v>-18</v>
      </c>
      <c r="O86" s="10">
        <f t="shared" si="2"/>
        <v>-16983</v>
      </c>
      <c r="P86" s="5" t="s">
        <v>19</v>
      </c>
      <c r="Q86" s="11"/>
      <c r="R86" s="5" t="s">
        <v>130</v>
      </c>
    </row>
    <row r="87" spans="1:18" s="5" customFormat="1" x14ac:dyDescent="0.25">
      <c r="A87" s="6" t="s">
        <v>66</v>
      </c>
      <c r="B87" s="7">
        <v>1425</v>
      </c>
      <c r="C87" s="8">
        <v>43691</v>
      </c>
      <c r="D87" s="7" t="s">
        <v>131</v>
      </c>
      <c r="E87" s="8">
        <v>43679</v>
      </c>
      <c r="F87" s="7">
        <v>0</v>
      </c>
      <c r="G87" s="7">
        <v>0</v>
      </c>
      <c r="H87" s="8">
        <v>43691</v>
      </c>
      <c r="I87" s="8">
        <v>43709</v>
      </c>
      <c r="J87" s="7" t="s">
        <v>18</v>
      </c>
      <c r="K87" s="9">
        <v>2926.38</v>
      </c>
      <c r="L87" s="7">
        <v>527.71</v>
      </c>
      <c r="M87" s="9">
        <v>2398.67</v>
      </c>
      <c r="N87" s="7">
        <v>-18</v>
      </c>
      <c r="O87" s="10">
        <f t="shared" si="2"/>
        <v>-43176.06</v>
      </c>
      <c r="P87" s="5" t="s">
        <v>19</v>
      </c>
      <c r="Q87" s="11"/>
      <c r="R87" s="5" t="s">
        <v>68</v>
      </c>
    </row>
    <row r="88" spans="1:18" s="5" customFormat="1" x14ac:dyDescent="0.25">
      <c r="A88" s="6" t="s">
        <v>37</v>
      </c>
      <c r="B88" s="7">
        <v>1480</v>
      </c>
      <c r="C88" s="8">
        <v>43722</v>
      </c>
      <c r="D88" s="7" t="s">
        <v>132</v>
      </c>
      <c r="E88" s="8">
        <v>43708</v>
      </c>
      <c r="F88" s="7">
        <v>0</v>
      </c>
      <c r="G88" s="7">
        <v>0</v>
      </c>
      <c r="H88" s="8">
        <v>43724</v>
      </c>
      <c r="I88" s="8">
        <v>43742</v>
      </c>
      <c r="J88" s="7" t="s">
        <v>18</v>
      </c>
      <c r="K88" s="7">
        <v>73.2</v>
      </c>
      <c r="L88" s="7">
        <v>13.2</v>
      </c>
      <c r="M88" s="7">
        <v>60</v>
      </c>
      <c r="N88" s="7">
        <v>-18</v>
      </c>
      <c r="O88" s="10">
        <f t="shared" si="2"/>
        <v>-1080</v>
      </c>
      <c r="P88" s="5" t="s">
        <v>19</v>
      </c>
      <c r="Q88" s="11"/>
      <c r="R88" s="5" t="s">
        <v>15</v>
      </c>
    </row>
    <row r="89" spans="1:18" s="5" customFormat="1" x14ac:dyDescent="0.25">
      <c r="A89" s="6" t="s">
        <v>120</v>
      </c>
      <c r="B89" s="7">
        <v>1477</v>
      </c>
      <c r="C89" s="8">
        <v>43722</v>
      </c>
      <c r="D89" s="7" t="str">
        <f>"19183"</f>
        <v>19183</v>
      </c>
      <c r="E89" s="8">
        <v>43712</v>
      </c>
      <c r="F89" s="7">
        <v>0</v>
      </c>
      <c r="G89" s="7">
        <v>0</v>
      </c>
      <c r="H89" s="8">
        <v>43724</v>
      </c>
      <c r="I89" s="8">
        <v>43743</v>
      </c>
      <c r="J89" s="7" t="s">
        <v>18</v>
      </c>
      <c r="K89" s="9">
        <v>1059.3399999999999</v>
      </c>
      <c r="L89" s="7">
        <v>191.03</v>
      </c>
      <c r="M89" s="7">
        <v>868.31</v>
      </c>
      <c r="N89" s="7">
        <v>-19</v>
      </c>
      <c r="O89" s="10">
        <f t="shared" si="2"/>
        <v>-16497.89</v>
      </c>
      <c r="P89" s="5" t="s">
        <v>19</v>
      </c>
      <c r="Q89" s="11"/>
      <c r="R89" s="5" t="s">
        <v>81</v>
      </c>
    </row>
    <row r="90" spans="1:18" s="5" customFormat="1" x14ac:dyDescent="0.25">
      <c r="A90" s="6" t="s">
        <v>120</v>
      </c>
      <c r="B90" s="7">
        <v>1478</v>
      </c>
      <c r="C90" s="8">
        <v>43722</v>
      </c>
      <c r="D90" s="7" t="str">
        <f>"19184"</f>
        <v>19184</v>
      </c>
      <c r="E90" s="8">
        <v>43712</v>
      </c>
      <c r="F90" s="7">
        <v>0</v>
      </c>
      <c r="G90" s="7">
        <v>0</v>
      </c>
      <c r="H90" s="8">
        <v>43724</v>
      </c>
      <c r="I90" s="8">
        <v>43743</v>
      </c>
      <c r="J90" s="7" t="s">
        <v>18</v>
      </c>
      <c r="K90" s="9">
        <v>2215.2399999999998</v>
      </c>
      <c r="L90" s="7">
        <v>399.47</v>
      </c>
      <c r="M90" s="9">
        <v>1815.77</v>
      </c>
      <c r="N90" s="7">
        <v>-19</v>
      </c>
      <c r="O90" s="10">
        <f t="shared" si="2"/>
        <v>-34499.629999999997</v>
      </c>
      <c r="P90" s="5" t="s">
        <v>19</v>
      </c>
      <c r="Q90" s="11"/>
      <c r="R90" s="5" t="s">
        <v>81</v>
      </c>
    </row>
    <row r="91" spans="1:18" s="5" customFormat="1" x14ac:dyDescent="0.25">
      <c r="A91" s="6" t="s">
        <v>133</v>
      </c>
      <c r="B91" s="7">
        <v>1101</v>
      </c>
      <c r="C91" s="8">
        <v>43658</v>
      </c>
      <c r="D91" s="7" t="str">
        <f>"064540"</f>
        <v>064540</v>
      </c>
      <c r="E91" s="8">
        <v>43646</v>
      </c>
      <c r="F91" s="7">
        <v>0</v>
      </c>
      <c r="G91" s="7">
        <v>0</v>
      </c>
      <c r="H91" s="8">
        <v>43658</v>
      </c>
      <c r="I91" s="8">
        <v>43677</v>
      </c>
      <c r="J91" s="7" t="s">
        <v>18</v>
      </c>
      <c r="K91" s="7">
        <v>85.4</v>
      </c>
      <c r="L91" s="7">
        <v>15.4</v>
      </c>
      <c r="M91" s="7">
        <v>70</v>
      </c>
      <c r="N91" s="7">
        <v>-19</v>
      </c>
      <c r="O91" s="10">
        <f t="shared" si="2"/>
        <v>-1330</v>
      </c>
      <c r="P91" s="5" t="s">
        <v>19</v>
      </c>
      <c r="Q91" s="11"/>
      <c r="R91" s="5" t="s">
        <v>108</v>
      </c>
    </row>
    <row r="92" spans="1:18" s="5" customFormat="1" x14ac:dyDescent="0.25">
      <c r="A92" s="6" t="s">
        <v>133</v>
      </c>
      <c r="B92" s="7">
        <v>1458</v>
      </c>
      <c r="C92" s="8">
        <v>43722</v>
      </c>
      <c r="D92" s="7" t="str">
        <f>"090341"</f>
        <v>090341</v>
      </c>
      <c r="E92" s="8">
        <v>43708</v>
      </c>
      <c r="F92" s="7">
        <v>0</v>
      </c>
      <c r="G92" s="7">
        <v>0</v>
      </c>
      <c r="H92" s="8">
        <v>43724</v>
      </c>
      <c r="I92" s="8">
        <v>43743</v>
      </c>
      <c r="J92" s="7" t="s">
        <v>18</v>
      </c>
      <c r="K92" s="7">
        <v>95.73</v>
      </c>
      <c r="L92" s="7">
        <v>17.260000000000002</v>
      </c>
      <c r="M92" s="7">
        <v>78.47</v>
      </c>
      <c r="N92" s="7">
        <v>-19</v>
      </c>
      <c r="O92" s="10">
        <f t="shared" si="2"/>
        <v>-1490.93</v>
      </c>
      <c r="P92" s="5" t="s">
        <v>19</v>
      </c>
      <c r="Q92" s="11"/>
      <c r="R92" s="5" t="s">
        <v>108</v>
      </c>
    </row>
    <row r="93" spans="1:18" s="5" customFormat="1" x14ac:dyDescent="0.25">
      <c r="A93" s="6" t="s">
        <v>133</v>
      </c>
      <c r="B93" s="7">
        <v>1457</v>
      </c>
      <c r="C93" s="8">
        <v>43722</v>
      </c>
      <c r="D93" s="7" t="str">
        <f>"090345"</f>
        <v>090345</v>
      </c>
      <c r="E93" s="8">
        <v>43708</v>
      </c>
      <c r="F93" s="7">
        <v>0</v>
      </c>
      <c r="G93" s="7">
        <v>0</v>
      </c>
      <c r="H93" s="8">
        <v>43724</v>
      </c>
      <c r="I93" s="8">
        <v>43743</v>
      </c>
      <c r="J93" s="7" t="s">
        <v>18</v>
      </c>
      <c r="K93" s="7">
        <v>76.59</v>
      </c>
      <c r="L93" s="7">
        <v>13.81</v>
      </c>
      <c r="M93" s="7">
        <v>62.78</v>
      </c>
      <c r="N93" s="7">
        <v>-19</v>
      </c>
      <c r="O93" s="10">
        <f t="shared" si="2"/>
        <v>-1192.82</v>
      </c>
      <c r="P93" s="5" t="s">
        <v>19</v>
      </c>
      <c r="Q93" s="11"/>
      <c r="R93" s="5" t="s">
        <v>108</v>
      </c>
    </row>
    <row r="94" spans="1:18" s="5" customFormat="1" x14ac:dyDescent="0.25">
      <c r="A94" s="6" t="s">
        <v>133</v>
      </c>
      <c r="B94" s="7">
        <v>1104</v>
      </c>
      <c r="C94" s="8">
        <v>43658</v>
      </c>
      <c r="D94" s="7" t="str">
        <f>"064539"</f>
        <v>064539</v>
      </c>
      <c r="E94" s="8">
        <v>43646</v>
      </c>
      <c r="F94" s="7">
        <v>0</v>
      </c>
      <c r="G94" s="7">
        <v>0</v>
      </c>
      <c r="H94" s="8">
        <v>43658</v>
      </c>
      <c r="I94" s="8">
        <v>43677</v>
      </c>
      <c r="J94" s="7" t="s">
        <v>18</v>
      </c>
      <c r="K94" s="7">
        <v>77.92</v>
      </c>
      <c r="L94" s="7">
        <v>14.05</v>
      </c>
      <c r="M94" s="7">
        <v>63.87</v>
      </c>
      <c r="N94" s="7">
        <v>-19</v>
      </c>
      <c r="O94" s="10">
        <f t="shared" si="2"/>
        <v>-1213.53</v>
      </c>
      <c r="P94" s="5" t="s">
        <v>19</v>
      </c>
      <c r="Q94" s="11"/>
      <c r="R94" s="5" t="s">
        <v>108</v>
      </c>
    </row>
    <row r="95" spans="1:18" s="5" customFormat="1" x14ac:dyDescent="0.25">
      <c r="A95" s="6" t="s">
        <v>133</v>
      </c>
      <c r="B95" s="7">
        <v>1100</v>
      </c>
      <c r="C95" s="8">
        <v>43658</v>
      </c>
      <c r="D95" s="7" t="str">
        <f>"064538"</f>
        <v>064538</v>
      </c>
      <c r="E95" s="8">
        <v>43646</v>
      </c>
      <c r="F95" s="7">
        <v>0</v>
      </c>
      <c r="G95" s="7">
        <v>0</v>
      </c>
      <c r="H95" s="8">
        <v>43658</v>
      </c>
      <c r="I95" s="8">
        <v>43677</v>
      </c>
      <c r="J95" s="7" t="s">
        <v>18</v>
      </c>
      <c r="K95" s="7">
        <v>95.73</v>
      </c>
      <c r="L95" s="7">
        <v>17.260000000000002</v>
      </c>
      <c r="M95" s="7">
        <v>78.47</v>
      </c>
      <c r="N95" s="7">
        <v>-19</v>
      </c>
      <c r="O95" s="10">
        <f t="shared" si="2"/>
        <v>-1490.93</v>
      </c>
      <c r="P95" s="5" t="s">
        <v>19</v>
      </c>
      <c r="Q95" s="11"/>
      <c r="R95" s="5" t="s">
        <v>108</v>
      </c>
    </row>
    <row r="96" spans="1:18" s="5" customFormat="1" x14ac:dyDescent="0.25">
      <c r="A96" s="6" t="s">
        <v>133</v>
      </c>
      <c r="B96" s="7">
        <v>1106</v>
      </c>
      <c r="C96" s="8">
        <v>43658</v>
      </c>
      <c r="D96" s="7" t="str">
        <f>"064535"</f>
        <v>064535</v>
      </c>
      <c r="E96" s="8">
        <v>43646</v>
      </c>
      <c r="F96" s="7">
        <v>0</v>
      </c>
      <c r="G96" s="7">
        <v>0</v>
      </c>
      <c r="H96" s="8">
        <v>43658</v>
      </c>
      <c r="I96" s="8">
        <v>43677</v>
      </c>
      <c r="J96" s="7" t="s">
        <v>18</v>
      </c>
      <c r="K96" s="7">
        <v>445.34</v>
      </c>
      <c r="L96" s="7">
        <v>80.31</v>
      </c>
      <c r="M96" s="7">
        <v>365.03</v>
      </c>
      <c r="N96" s="7">
        <v>-19</v>
      </c>
      <c r="O96" s="10">
        <f t="shared" si="2"/>
        <v>-6935.57</v>
      </c>
      <c r="P96" s="5" t="s">
        <v>19</v>
      </c>
      <c r="Q96" s="11"/>
      <c r="R96" s="5" t="s">
        <v>108</v>
      </c>
    </row>
    <row r="97" spans="1:18" s="5" customFormat="1" x14ac:dyDescent="0.25">
      <c r="A97" s="6" t="s">
        <v>133</v>
      </c>
      <c r="B97" s="7">
        <v>1102</v>
      </c>
      <c r="C97" s="8">
        <v>43658</v>
      </c>
      <c r="D97" s="7" t="str">
        <f>"064534"</f>
        <v>064534</v>
      </c>
      <c r="E97" s="8">
        <v>43646</v>
      </c>
      <c r="F97" s="7">
        <v>0</v>
      </c>
      <c r="G97" s="7">
        <v>0</v>
      </c>
      <c r="H97" s="8">
        <v>43658</v>
      </c>
      <c r="I97" s="8">
        <v>43677</v>
      </c>
      <c r="J97" s="7" t="s">
        <v>18</v>
      </c>
      <c r="K97" s="7">
        <v>209.72</v>
      </c>
      <c r="L97" s="7">
        <v>37.82</v>
      </c>
      <c r="M97" s="7">
        <v>171.9</v>
      </c>
      <c r="N97" s="7">
        <v>-19</v>
      </c>
      <c r="O97" s="10">
        <f t="shared" si="2"/>
        <v>-3266.1</v>
      </c>
      <c r="P97" s="5" t="s">
        <v>19</v>
      </c>
      <c r="Q97" s="11"/>
      <c r="R97" s="5" t="s">
        <v>108</v>
      </c>
    </row>
    <row r="98" spans="1:18" s="5" customFormat="1" x14ac:dyDescent="0.25">
      <c r="A98" s="6" t="s">
        <v>133</v>
      </c>
      <c r="B98" s="7">
        <v>1103</v>
      </c>
      <c r="C98" s="8">
        <v>43658</v>
      </c>
      <c r="D98" s="7" t="str">
        <f>"064536"</f>
        <v>064536</v>
      </c>
      <c r="E98" s="8">
        <v>43646</v>
      </c>
      <c r="F98" s="7">
        <v>0</v>
      </c>
      <c r="G98" s="7">
        <v>0</v>
      </c>
      <c r="H98" s="8">
        <v>43658</v>
      </c>
      <c r="I98" s="8">
        <v>43677</v>
      </c>
      <c r="J98" s="7" t="s">
        <v>18</v>
      </c>
      <c r="K98" s="7">
        <v>77.02</v>
      </c>
      <c r="L98" s="7">
        <v>13.89</v>
      </c>
      <c r="M98" s="7">
        <v>63.13</v>
      </c>
      <c r="N98" s="7">
        <v>-19</v>
      </c>
      <c r="O98" s="10">
        <f t="shared" si="2"/>
        <v>-1199.47</v>
      </c>
      <c r="P98" s="5" t="s">
        <v>19</v>
      </c>
      <c r="Q98" s="11"/>
      <c r="R98" s="5" t="s">
        <v>108</v>
      </c>
    </row>
    <row r="99" spans="1:18" s="5" customFormat="1" x14ac:dyDescent="0.25">
      <c r="A99" s="6" t="s">
        <v>133</v>
      </c>
      <c r="B99" s="7">
        <v>1454</v>
      </c>
      <c r="C99" s="8">
        <v>43722</v>
      </c>
      <c r="D99" s="7" t="str">
        <f>"090344"</f>
        <v>090344</v>
      </c>
      <c r="E99" s="8">
        <v>43708</v>
      </c>
      <c r="F99" s="7">
        <v>0</v>
      </c>
      <c r="G99" s="7">
        <v>0</v>
      </c>
      <c r="H99" s="8">
        <v>43724</v>
      </c>
      <c r="I99" s="8">
        <v>43743</v>
      </c>
      <c r="J99" s="7" t="s">
        <v>18</v>
      </c>
      <c r="K99" s="7">
        <v>76.650000000000006</v>
      </c>
      <c r="L99" s="7">
        <v>13.82</v>
      </c>
      <c r="M99" s="7">
        <v>62.83</v>
      </c>
      <c r="N99" s="7">
        <v>-19</v>
      </c>
      <c r="O99" s="10">
        <f t="shared" si="2"/>
        <v>-1193.77</v>
      </c>
      <c r="P99" s="5" t="s">
        <v>19</v>
      </c>
      <c r="Q99" s="11"/>
      <c r="R99" s="5" t="s">
        <v>108</v>
      </c>
    </row>
    <row r="100" spans="1:18" s="5" customFormat="1" x14ac:dyDescent="0.25">
      <c r="A100" s="6" t="s">
        <v>133</v>
      </c>
      <c r="B100" s="7">
        <v>1456</v>
      </c>
      <c r="C100" s="8">
        <v>43722</v>
      </c>
      <c r="D100" s="7" t="str">
        <f>"090343"</f>
        <v>090343</v>
      </c>
      <c r="E100" s="8">
        <v>43708</v>
      </c>
      <c r="F100" s="7">
        <v>0</v>
      </c>
      <c r="G100" s="7">
        <v>0</v>
      </c>
      <c r="H100" s="8">
        <v>43724</v>
      </c>
      <c r="I100" s="8">
        <v>43743</v>
      </c>
      <c r="J100" s="7" t="s">
        <v>18</v>
      </c>
      <c r="K100" s="7">
        <v>76.59</v>
      </c>
      <c r="L100" s="7">
        <v>13.81</v>
      </c>
      <c r="M100" s="7">
        <v>62.78</v>
      </c>
      <c r="N100" s="7">
        <v>-19</v>
      </c>
      <c r="O100" s="10">
        <f t="shared" si="2"/>
        <v>-1192.82</v>
      </c>
      <c r="P100" s="5" t="s">
        <v>19</v>
      </c>
      <c r="Q100" s="11"/>
      <c r="R100" s="5" t="s">
        <v>108</v>
      </c>
    </row>
    <row r="101" spans="1:18" s="5" customFormat="1" x14ac:dyDescent="0.25">
      <c r="A101" s="6" t="s">
        <v>133</v>
      </c>
      <c r="B101" s="7">
        <v>1105</v>
      </c>
      <c r="C101" s="8">
        <v>43658</v>
      </c>
      <c r="D101" s="7" t="str">
        <f>"064537"</f>
        <v>064537</v>
      </c>
      <c r="E101" s="8">
        <v>43646</v>
      </c>
      <c r="F101" s="7">
        <v>0</v>
      </c>
      <c r="G101" s="7">
        <v>0</v>
      </c>
      <c r="H101" s="8">
        <v>43658</v>
      </c>
      <c r="I101" s="8">
        <v>43677</v>
      </c>
      <c r="J101" s="7" t="s">
        <v>18</v>
      </c>
      <c r="K101" s="7">
        <v>76.97</v>
      </c>
      <c r="L101" s="7">
        <v>13.88</v>
      </c>
      <c r="M101" s="7">
        <v>63.09</v>
      </c>
      <c r="N101" s="7">
        <v>-19</v>
      </c>
      <c r="O101" s="10">
        <f t="shared" si="2"/>
        <v>-1198.71</v>
      </c>
      <c r="P101" s="5" t="s">
        <v>19</v>
      </c>
      <c r="Q101" s="11"/>
      <c r="R101" s="5" t="s">
        <v>108</v>
      </c>
    </row>
    <row r="102" spans="1:18" s="5" customFormat="1" x14ac:dyDescent="0.25">
      <c r="A102" s="6" t="s">
        <v>133</v>
      </c>
      <c r="B102" s="7">
        <v>1455</v>
      </c>
      <c r="C102" s="8">
        <v>43722</v>
      </c>
      <c r="D102" s="7" t="str">
        <f>"090340"</f>
        <v>090340</v>
      </c>
      <c r="E102" s="8">
        <v>43708</v>
      </c>
      <c r="F102" s="7">
        <v>0</v>
      </c>
      <c r="G102" s="7">
        <v>0</v>
      </c>
      <c r="H102" s="8">
        <v>43724</v>
      </c>
      <c r="I102" s="8">
        <v>43743</v>
      </c>
      <c r="J102" s="7" t="s">
        <v>18</v>
      </c>
      <c r="K102" s="7">
        <v>191.89</v>
      </c>
      <c r="L102" s="7">
        <v>34.6</v>
      </c>
      <c r="M102" s="7">
        <v>157.29</v>
      </c>
      <c r="N102" s="7">
        <v>-19</v>
      </c>
      <c r="O102" s="10">
        <f t="shared" si="2"/>
        <v>-2988.5099999999998</v>
      </c>
      <c r="P102" s="5" t="s">
        <v>19</v>
      </c>
      <c r="Q102" s="11"/>
      <c r="R102" s="5" t="s">
        <v>108</v>
      </c>
    </row>
    <row r="103" spans="1:18" s="5" customFormat="1" x14ac:dyDescent="0.25">
      <c r="A103" s="6" t="s">
        <v>133</v>
      </c>
      <c r="B103" s="7">
        <v>1453</v>
      </c>
      <c r="C103" s="8">
        <v>43722</v>
      </c>
      <c r="D103" s="7" t="str">
        <f>"090342"</f>
        <v>090342</v>
      </c>
      <c r="E103" s="8">
        <v>43708</v>
      </c>
      <c r="F103" s="7">
        <v>0</v>
      </c>
      <c r="G103" s="7">
        <v>0</v>
      </c>
      <c r="H103" s="8">
        <v>43724</v>
      </c>
      <c r="I103" s="8">
        <v>43743</v>
      </c>
      <c r="J103" s="7" t="s">
        <v>18</v>
      </c>
      <c r="K103" s="7">
        <v>77.599999999999994</v>
      </c>
      <c r="L103" s="7">
        <v>13.99</v>
      </c>
      <c r="M103" s="7">
        <v>63.61</v>
      </c>
      <c r="N103" s="7">
        <v>-19</v>
      </c>
      <c r="O103" s="10">
        <f t="shared" si="2"/>
        <v>-1208.5899999999999</v>
      </c>
      <c r="P103" s="5" t="s">
        <v>19</v>
      </c>
      <c r="Q103" s="11"/>
      <c r="R103" s="5" t="s">
        <v>108</v>
      </c>
    </row>
    <row r="104" spans="1:18" s="5" customFormat="1" x14ac:dyDescent="0.25">
      <c r="A104" s="6" t="s">
        <v>133</v>
      </c>
      <c r="B104" s="7">
        <v>1458</v>
      </c>
      <c r="C104" s="8">
        <v>43722</v>
      </c>
      <c r="D104" s="7" t="str">
        <f>"090339"</f>
        <v>090339</v>
      </c>
      <c r="E104" s="8">
        <v>43708</v>
      </c>
      <c r="F104" s="7">
        <v>0</v>
      </c>
      <c r="G104" s="7">
        <v>0</v>
      </c>
      <c r="H104" s="8">
        <v>43724</v>
      </c>
      <c r="I104" s="8">
        <v>43743</v>
      </c>
      <c r="J104" s="7" t="s">
        <v>18</v>
      </c>
      <c r="K104" s="7">
        <v>414.25</v>
      </c>
      <c r="L104" s="7">
        <v>74.7</v>
      </c>
      <c r="M104" s="7">
        <v>339.55</v>
      </c>
      <c r="N104" s="7">
        <v>-19</v>
      </c>
      <c r="O104" s="10">
        <f t="shared" si="2"/>
        <v>-6451.45</v>
      </c>
      <c r="P104" s="5" t="s">
        <v>19</v>
      </c>
      <c r="Q104" s="11"/>
      <c r="R104" s="5" t="s">
        <v>108</v>
      </c>
    </row>
    <row r="105" spans="1:18" s="5" customFormat="1" x14ac:dyDescent="0.25">
      <c r="A105" s="6" t="s">
        <v>117</v>
      </c>
      <c r="B105" s="7">
        <v>1460</v>
      </c>
      <c r="C105" s="8">
        <v>43722</v>
      </c>
      <c r="D105" s="7" t="str">
        <f>"0002138123"</f>
        <v>0002138123</v>
      </c>
      <c r="E105" s="8">
        <v>43708</v>
      </c>
      <c r="F105" s="7">
        <v>0</v>
      </c>
      <c r="G105" s="7">
        <v>0</v>
      </c>
      <c r="H105" s="8">
        <v>43724</v>
      </c>
      <c r="I105" s="8">
        <v>43744</v>
      </c>
      <c r="J105" s="7" t="s">
        <v>18</v>
      </c>
      <c r="K105" s="7">
        <v>340.38</v>
      </c>
      <c r="L105" s="7">
        <v>61.38</v>
      </c>
      <c r="M105" s="7">
        <v>279</v>
      </c>
      <c r="N105" s="7">
        <v>-20</v>
      </c>
      <c r="O105" s="10">
        <f t="shared" si="2"/>
        <v>-5580</v>
      </c>
      <c r="P105" s="5" t="s">
        <v>19</v>
      </c>
      <c r="Q105" s="11"/>
      <c r="R105" s="5" t="s">
        <v>118</v>
      </c>
    </row>
    <row r="106" spans="1:18" s="5" customFormat="1" x14ac:dyDescent="0.25">
      <c r="A106" s="6" t="s">
        <v>117</v>
      </c>
      <c r="B106" s="7">
        <v>1460</v>
      </c>
      <c r="C106" s="8">
        <v>43722</v>
      </c>
      <c r="D106" s="7" t="str">
        <f>"0002138472"</f>
        <v>0002138472</v>
      </c>
      <c r="E106" s="8">
        <v>43708</v>
      </c>
      <c r="F106" s="7">
        <v>0</v>
      </c>
      <c r="G106" s="7">
        <v>0</v>
      </c>
      <c r="H106" s="8">
        <v>43724</v>
      </c>
      <c r="I106" s="8">
        <v>43744</v>
      </c>
      <c r="J106" s="7" t="s">
        <v>18</v>
      </c>
      <c r="K106" s="7">
        <v>211.67</v>
      </c>
      <c r="L106" s="7">
        <v>38.17</v>
      </c>
      <c r="M106" s="7">
        <v>173.5</v>
      </c>
      <c r="N106" s="7">
        <v>-20</v>
      </c>
      <c r="O106" s="10">
        <f t="shared" si="2"/>
        <v>-3470</v>
      </c>
      <c r="P106" s="5" t="s">
        <v>19</v>
      </c>
      <c r="Q106" s="11"/>
      <c r="R106" s="5" t="s">
        <v>118</v>
      </c>
    </row>
    <row r="107" spans="1:18" s="5" customFormat="1" x14ac:dyDescent="0.25">
      <c r="A107" s="6" t="s">
        <v>117</v>
      </c>
      <c r="B107" s="7">
        <v>1464</v>
      </c>
      <c r="C107" s="8">
        <v>43722</v>
      </c>
      <c r="D107" s="7" t="str">
        <f>"0001124714"</f>
        <v>0001124714</v>
      </c>
      <c r="E107" s="8">
        <v>43708</v>
      </c>
      <c r="F107" s="7">
        <v>0</v>
      </c>
      <c r="G107" s="7">
        <v>0</v>
      </c>
      <c r="H107" s="8">
        <v>43724</v>
      </c>
      <c r="I107" s="8">
        <v>43744</v>
      </c>
      <c r="J107" s="7" t="s">
        <v>18</v>
      </c>
      <c r="K107" s="9">
        <v>1235</v>
      </c>
      <c r="L107" s="7">
        <v>0</v>
      </c>
      <c r="M107" s="9">
        <v>1235</v>
      </c>
      <c r="N107" s="7">
        <v>-20</v>
      </c>
      <c r="O107" s="10">
        <f t="shared" si="2"/>
        <v>-24700</v>
      </c>
      <c r="P107" s="5" t="s">
        <v>19</v>
      </c>
      <c r="Q107" s="11"/>
      <c r="R107" s="5" t="s">
        <v>118</v>
      </c>
    </row>
    <row r="108" spans="1:18" s="5" customFormat="1" x14ac:dyDescent="0.25">
      <c r="A108" s="6" t="s">
        <v>134</v>
      </c>
      <c r="B108" s="7">
        <v>1284</v>
      </c>
      <c r="C108" s="8">
        <v>43672</v>
      </c>
      <c r="D108" s="7" t="str">
        <f>"53"</f>
        <v>53</v>
      </c>
      <c r="E108" s="8">
        <v>43654</v>
      </c>
      <c r="F108" s="7">
        <v>0</v>
      </c>
      <c r="G108" s="7">
        <v>0</v>
      </c>
      <c r="H108" s="8">
        <v>43672</v>
      </c>
      <c r="I108" s="8">
        <v>43692</v>
      </c>
      <c r="J108" s="7" t="s">
        <v>18</v>
      </c>
      <c r="K108" s="9">
        <v>4200</v>
      </c>
      <c r="L108" s="7">
        <v>757.38</v>
      </c>
      <c r="M108" s="9">
        <v>3442.62</v>
      </c>
      <c r="N108" s="7">
        <v>-20</v>
      </c>
      <c r="O108" s="10">
        <f t="shared" si="2"/>
        <v>-68852.399999999994</v>
      </c>
      <c r="P108" s="5" t="s">
        <v>19</v>
      </c>
      <c r="Q108" s="11"/>
      <c r="R108" s="5" t="s">
        <v>31</v>
      </c>
    </row>
    <row r="109" spans="1:18" s="5" customFormat="1" x14ac:dyDescent="0.25">
      <c r="A109" s="6" t="s">
        <v>25</v>
      </c>
      <c r="B109" s="7">
        <v>1062</v>
      </c>
      <c r="C109" s="8">
        <v>43652</v>
      </c>
      <c r="D109" s="7" t="str">
        <f>"41902300388"</f>
        <v>41902300388</v>
      </c>
      <c r="E109" s="8">
        <v>43637</v>
      </c>
      <c r="F109" s="7">
        <v>0</v>
      </c>
      <c r="G109" s="7">
        <v>0</v>
      </c>
      <c r="H109" s="8">
        <v>43652</v>
      </c>
      <c r="I109" s="8">
        <v>43672</v>
      </c>
      <c r="J109" s="7" t="s">
        <v>18</v>
      </c>
      <c r="K109" s="7">
        <v>222.21</v>
      </c>
      <c r="L109" s="7">
        <v>40.07</v>
      </c>
      <c r="M109" s="7">
        <v>182.14</v>
      </c>
      <c r="N109" s="7">
        <v>-20</v>
      </c>
      <c r="O109" s="10">
        <f t="shared" si="2"/>
        <v>-3642.7999999999997</v>
      </c>
      <c r="P109" s="5" t="s">
        <v>19</v>
      </c>
      <c r="Q109" s="11"/>
      <c r="R109" s="5" t="s">
        <v>26</v>
      </c>
    </row>
    <row r="110" spans="1:18" s="5" customFormat="1" x14ac:dyDescent="0.25">
      <c r="A110" s="6" t="s">
        <v>135</v>
      </c>
      <c r="B110" s="7">
        <v>1072</v>
      </c>
      <c r="C110" s="8">
        <v>43652</v>
      </c>
      <c r="D110" s="7" t="str">
        <f>"2019901639"</f>
        <v>2019901639</v>
      </c>
      <c r="E110" s="8">
        <v>43640</v>
      </c>
      <c r="F110" s="7">
        <v>0</v>
      </c>
      <c r="G110" s="7">
        <v>0</v>
      </c>
      <c r="H110" s="8">
        <v>43652</v>
      </c>
      <c r="I110" s="8">
        <v>43672</v>
      </c>
      <c r="J110" s="7" t="s">
        <v>18</v>
      </c>
      <c r="K110" s="9">
        <v>7523.24</v>
      </c>
      <c r="L110" s="9">
        <v>1356.65</v>
      </c>
      <c r="M110" s="9">
        <v>6166.59</v>
      </c>
      <c r="N110" s="7">
        <v>-20</v>
      </c>
      <c r="O110" s="10">
        <f t="shared" si="2"/>
        <v>-123331.8</v>
      </c>
      <c r="P110" s="5" t="s">
        <v>19</v>
      </c>
      <c r="Q110" s="11"/>
      <c r="R110" s="5" t="s">
        <v>136</v>
      </c>
    </row>
    <row r="111" spans="1:18" s="5" customFormat="1" x14ac:dyDescent="0.25">
      <c r="A111" s="6" t="s">
        <v>135</v>
      </c>
      <c r="B111" s="7">
        <v>1071</v>
      </c>
      <c r="C111" s="8">
        <v>43652</v>
      </c>
      <c r="D111" s="7" t="str">
        <f>"2019901646"</f>
        <v>2019901646</v>
      </c>
      <c r="E111" s="8">
        <v>43640</v>
      </c>
      <c r="F111" s="7">
        <v>0</v>
      </c>
      <c r="G111" s="7">
        <v>0</v>
      </c>
      <c r="H111" s="8">
        <v>43652</v>
      </c>
      <c r="I111" s="8">
        <v>43672</v>
      </c>
      <c r="J111" s="7" t="s">
        <v>18</v>
      </c>
      <c r="K111" s="9">
        <v>8322</v>
      </c>
      <c r="L111" s="9">
        <v>1500.69</v>
      </c>
      <c r="M111" s="9">
        <v>6821.31</v>
      </c>
      <c r="N111" s="7">
        <v>-20</v>
      </c>
      <c r="O111" s="10">
        <f t="shared" si="2"/>
        <v>-136426.20000000001</v>
      </c>
      <c r="P111" s="5" t="s">
        <v>19</v>
      </c>
      <c r="Q111" s="11"/>
      <c r="R111" s="5" t="s">
        <v>136</v>
      </c>
    </row>
    <row r="112" spans="1:18" s="5" customFormat="1" x14ac:dyDescent="0.25">
      <c r="A112" s="6" t="s">
        <v>133</v>
      </c>
      <c r="B112" s="7">
        <v>1453</v>
      </c>
      <c r="C112" s="8">
        <v>43722</v>
      </c>
      <c r="D112" s="7" t="str">
        <f>"077363"</f>
        <v>077363</v>
      </c>
      <c r="E112" s="8">
        <v>43677</v>
      </c>
      <c r="F112" s="7">
        <v>0</v>
      </c>
      <c r="G112" s="7">
        <v>0</v>
      </c>
      <c r="H112" s="8">
        <v>43724</v>
      </c>
      <c r="I112" s="8">
        <v>43744</v>
      </c>
      <c r="J112" s="7" t="s">
        <v>18</v>
      </c>
      <c r="K112" s="7">
        <v>78.040000000000006</v>
      </c>
      <c r="L112" s="7">
        <v>14.07</v>
      </c>
      <c r="M112" s="7">
        <v>63.97</v>
      </c>
      <c r="N112" s="7">
        <v>-20</v>
      </c>
      <c r="O112" s="10">
        <f t="shared" si="2"/>
        <v>-1279.4000000000001</v>
      </c>
      <c r="P112" s="5" t="s">
        <v>19</v>
      </c>
      <c r="Q112" s="11"/>
      <c r="R112" s="5" t="s">
        <v>108</v>
      </c>
    </row>
    <row r="113" spans="1:18" s="5" customFormat="1" x14ac:dyDescent="0.25">
      <c r="A113" s="6" t="s">
        <v>133</v>
      </c>
      <c r="B113" s="7">
        <v>1456</v>
      </c>
      <c r="C113" s="8">
        <v>43722</v>
      </c>
      <c r="D113" s="7" t="str">
        <f>"077366"</f>
        <v>077366</v>
      </c>
      <c r="E113" s="8">
        <v>43677</v>
      </c>
      <c r="F113" s="7">
        <v>0</v>
      </c>
      <c r="G113" s="7">
        <v>0</v>
      </c>
      <c r="H113" s="8">
        <v>43724</v>
      </c>
      <c r="I113" s="8">
        <v>43744</v>
      </c>
      <c r="J113" s="7" t="s">
        <v>18</v>
      </c>
      <c r="K113" s="7">
        <v>76.790000000000006</v>
      </c>
      <c r="L113" s="7">
        <v>13.85</v>
      </c>
      <c r="M113" s="7">
        <v>62.94</v>
      </c>
      <c r="N113" s="7">
        <v>-20</v>
      </c>
      <c r="O113" s="10">
        <f t="shared" si="2"/>
        <v>-1258.8</v>
      </c>
      <c r="P113" s="5" t="s">
        <v>19</v>
      </c>
      <c r="Q113" s="11"/>
      <c r="R113" s="5" t="s">
        <v>108</v>
      </c>
    </row>
    <row r="114" spans="1:18" s="5" customFormat="1" x14ac:dyDescent="0.25">
      <c r="A114" s="6" t="s">
        <v>133</v>
      </c>
      <c r="B114" s="7">
        <v>1458</v>
      </c>
      <c r="C114" s="8">
        <v>43722</v>
      </c>
      <c r="D114" s="7" t="str">
        <f>"077360"</f>
        <v>077360</v>
      </c>
      <c r="E114" s="8">
        <v>43677</v>
      </c>
      <c r="F114" s="7">
        <v>0</v>
      </c>
      <c r="G114" s="7">
        <v>0</v>
      </c>
      <c r="H114" s="8">
        <v>43724</v>
      </c>
      <c r="I114" s="8">
        <v>43744</v>
      </c>
      <c r="J114" s="7" t="s">
        <v>18</v>
      </c>
      <c r="K114" s="7">
        <v>438.8</v>
      </c>
      <c r="L114" s="7">
        <v>79.13</v>
      </c>
      <c r="M114" s="7">
        <v>359.67</v>
      </c>
      <c r="N114" s="7">
        <v>-20</v>
      </c>
      <c r="O114" s="10">
        <f t="shared" si="2"/>
        <v>-7193.4000000000005</v>
      </c>
      <c r="P114" s="5" t="s">
        <v>19</v>
      </c>
      <c r="Q114" s="11"/>
      <c r="R114" s="5" t="s">
        <v>108</v>
      </c>
    </row>
    <row r="115" spans="1:18" s="5" customFormat="1" x14ac:dyDescent="0.25">
      <c r="A115" s="6" t="s">
        <v>133</v>
      </c>
      <c r="B115" s="7">
        <v>1455</v>
      </c>
      <c r="C115" s="8">
        <v>43722</v>
      </c>
      <c r="D115" s="7" t="str">
        <f>"077365"</f>
        <v>077365</v>
      </c>
      <c r="E115" s="8">
        <v>43677</v>
      </c>
      <c r="F115" s="7">
        <v>0</v>
      </c>
      <c r="G115" s="7">
        <v>0</v>
      </c>
      <c r="H115" s="8">
        <v>43724</v>
      </c>
      <c r="I115" s="8">
        <v>43744</v>
      </c>
      <c r="J115" s="7" t="s">
        <v>18</v>
      </c>
      <c r="K115" s="7">
        <v>209.5</v>
      </c>
      <c r="L115" s="7">
        <v>37.78</v>
      </c>
      <c r="M115" s="7">
        <v>171.72</v>
      </c>
      <c r="N115" s="7">
        <v>-20</v>
      </c>
      <c r="O115" s="10">
        <f t="shared" si="2"/>
        <v>-3434.4</v>
      </c>
      <c r="P115" s="5" t="s">
        <v>19</v>
      </c>
      <c r="Q115" s="11"/>
      <c r="R115" s="5" t="s">
        <v>108</v>
      </c>
    </row>
    <row r="116" spans="1:18" s="5" customFormat="1" x14ac:dyDescent="0.25">
      <c r="A116" s="6" t="s">
        <v>133</v>
      </c>
      <c r="B116" s="7">
        <v>1455</v>
      </c>
      <c r="C116" s="8">
        <v>43722</v>
      </c>
      <c r="D116" s="7" t="str">
        <f>"077364"</f>
        <v>077364</v>
      </c>
      <c r="E116" s="8">
        <v>43677</v>
      </c>
      <c r="F116" s="7">
        <v>0</v>
      </c>
      <c r="G116" s="7">
        <v>0</v>
      </c>
      <c r="H116" s="8">
        <v>43724</v>
      </c>
      <c r="I116" s="8">
        <v>43744</v>
      </c>
      <c r="J116" s="7" t="s">
        <v>18</v>
      </c>
      <c r="K116" s="7">
        <v>78.400000000000006</v>
      </c>
      <c r="L116" s="7">
        <v>14.14</v>
      </c>
      <c r="M116" s="7">
        <v>64.260000000000005</v>
      </c>
      <c r="N116" s="7">
        <v>-20</v>
      </c>
      <c r="O116" s="10">
        <f t="shared" si="2"/>
        <v>-1285.2</v>
      </c>
      <c r="P116" s="5" t="s">
        <v>19</v>
      </c>
      <c r="Q116" s="11"/>
      <c r="R116" s="5" t="s">
        <v>108</v>
      </c>
    </row>
    <row r="117" spans="1:18" s="5" customFormat="1" x14ac:dyDescent="0.25">
      <c r="A117" s="6" t="s">
        <v>133</v>
      </c>
      <c r="B117" s="7">
        <v>1458</v>
      </c>
      <c r="C117" s="8">
        <v>43722</v>
      </c>
      <c r="D117" s="7" t="str">
        <f>"077361"</f>
        <v>077361</v>
      </c>
      <c r="E117" s="8">
        <v>43677</v>
      </c>
      <c r="F117" s="7">
        <v>0</v>
      </c>
      <c r="G117" s="7">
        <v>0</v>
      </c>
      <c r="H117" s="8">
        <v>43724</v>
      </c>
      <c r="I117" s="8">
        <v>43744</v>
      </c>
      <c r="J117" s="7" t="s">
        <v>18</v>
      </c>
      <c r="K117" s="7">
        <v>95.73</v>
      </c>
      <c r="L117" s="7">
        <v>17.260000000000002</v>
      </c>
      <c r="M117" s="7">
        <v>78.47</v>
      </c>
      <c r="N117" s="7">
        <v>-20</v>
      </c>
      <c r="O117" s="10">
        <f t="shared" si="2"/>
        <v>-1569.4</v>
      </c>
      <c r="P117" s="5" t="s">
        <v>19</v>
      </c>
      <c r="Q117" s="11"/>
      <c r="R117" s="5" t="s">
        <v>108</v>
      </c>
    </row>
    <row r="118" spans="1:18" s="5" customFormat="1" x14ac:dyDescent="0.25">
      <c r="A118" s="6" t="s">
        <v>133</v>
      </c>
      <c r="B118" s="7">
        <v>1457</v>
      </c>
      <c r="C118" s="8">
        <v>43722</v>
      </c>
      <c r="D118" s="7" t="str">
        <f>"077362"</f>
        <v>077362</v>
      </c>
      <c r="E118" s="8">
        <v>43677</v>
      </c>
      <c r="F118" s="7">
        <v>0</v>
      </c>
      <c r="G118" s="7">
        <v>0</v>
      </c>
      <c r="H118" s="8">
        <v>43724</v>
      </c>
      <c r="I118" s="8">
        <v>43744</v>
      </c>
      <c r="J118" s="7" t="s">
        <v>18</v>
      </c>
      <c r="K118" s="7">
        <v>82.67</v>
      </c>
      <c r="L118" s="7">
        <v>14.91</v>
      </c>
      <c r="M118" s="7">
        <v>67.760000000000005</v>
      </c>
      <c r="N118" s="7">
        <v>-20</v>
      </c>
      <c r="O118" s="10">
        <f t="shared" si="2"/>
        <v>-1355.2</v>
      </c>
      <c r="P118" s="5" t="s">
        <v>19</v>
      </c>
      <c r="Q118" s="11"/>
      <c r="R118" s="5" t="s">
        <v>108</v>
      </c>
    </row>
    <row r="119" spans="1:18" s="5" customFormat="1" x14ac:dyDescent="0.25">
      <c r="A119" s="6" t="s">
        <v>137</v>
      </c>
      <c r="B119" s="7">
        <v>1459</v>
      </c>
      <c r="C119" s="8">
        <v>43722</v>
      </c>
      <c r="D119" s="7" t="s">
        <v>138</v>
      </c>
      <c r="E119" s="8">
        <v>43700</v>
      </c>
      <c r="F119" s="7">
        <v>0</v>
      </c>
      <c r="G119" s="7">
        <v>0</v>
      </c>
      <c r="H119" s="8">
        <v>43724</v>
      </c>
      <c r="I119" s="8">
        <v>43744</v>
      </c>
      <c r="J119" s="7" t="s">
        <v>18</v>
      </c>
      <c r="K119" s="7">
        <v>134.19999999999999</v>
      </c>
      <c r="L119" s="7">
        <v>24.2</v>
      </c>
      <c r="M119" s="7">
        <v>110</v>
      </c>
      <c r="N119" s="7">
        <v>-20</v>
      </c>
      <c r="O119" s="10">
        <f t="shared" si="2"/>
        <v>-2200</v>
      </c>
      <c r="P119" s="5" t="s">
        <v>19</v>
      </c>
      <c r="Q119" s="11"/>
      <c r="R119" s="5" t="s">
        <v>139</v>
      </c>
    </row>
    <row r="120" spans="1:18" s="5" customFormat="1" x14ac:dyDescent="0.25">
      <c r="A120" s="6" t="s">
        <v>117</v>
      </c>
      <c r="B120" s="7">
        <v>1063</v>
      </c>
      <c r="C120" s="8">
        <v>43652</v>
      </c>
      <c r="D120" s="7" t="str">
        <f>"0002128491"</f>
        <v>0002128491</v>
      </c>
      <c r="E120" s="8">
        <v>43642</v>
      </c>
      <c r="F120" s="7">
        <v>0</v>
      </c>
      <c r="G120" s="7">
        <v>0</v>
      </c>
      <c r="H120" s="8">
        <v>43652</v>
      </c>
      <c r="I120" s="8">
        <v>43673</v>
      </c>
      <c r="J120" s="7" t="s">
        <v>18</v>
      </c>
      <c r="K120" s="9">
        <v>4429.82</v>
      </c>
      <c r="L120" s="7">
        <v>798.82</v>
      </c>
      <c r="M120" s="9">
        <v>3631</v>
      </c>
      <c r="N120" s="7">
        <v>-21</v>
      </c>
      <c r="O120" s="10">
        <f t="shared" si="2"/>
        <v>-76251</v>
      </c>
      <c r="P120" s="5" t="s">
        <v>19</v>
      </c>
      <c r="Q120" s="11"/>
      <c r="R120" s="5" t="s">
        <v>118</v>
      </c>
    </row>
    <row r="121" spans="1:18" s="5" customFormat="1" x14ac:dyDescent="0.25">
      <c r="A121" s="6" t="s">
        <v>140</v>
      </c>
      <c r="B121" s="7">
        <v>1096</v>
      </c>
      <c r="C121" s="8">
        <v>43658</v>
      </c>
      <c r="D121" s="7" t="str">
        <f>"0000196"</f>
        <v>0000196</v>
      </c>
      <c r="E121" s="8">
        <v>43644</v>
      </c>
      <c r="F121" s="7">
        <v>0</v>
      </c>
      <c r="G121" s="7">
        <v>0</v>
      </c>
      <c r="H121" s="8">
        <v>43658</v>
      </c>
      <c r="I121" s="8">
        <v>43679</v>
      </c>
      <c r="J121" s="7" t="s">
        <v>18</v>
      </c>
      <c r="K121" s="7">
        <v>305</v>
      </c>
      <c r="L121" s="7">
        <v>55</v>
      </c>
      <c r="M121" s="7">
        <v>250</v>
      </c>
      <c r="N121" s="7">
        <v>-21</v>
      </c>
      <c r="O121" s="10">
        <f t="shared" si="2"/>
        <v>-5250</v>
      </c>
      <c r="P121" s="5" t="s">
        <v>19</v>
      </c>
      <c r="Q121" s="11"/>
      <c r="R121" s="5" t="s">
        <v>141</v>
      </c>
    </row>
    <row r="122" spans="1:18" s="5" customFormat="1" ht="25.5" x14ac:dyDescent="0.25">
      <c r="A122" s="6" t="s">
        <v>128</v>
      </c>
      <c r="B122" s="7">
        <v>1431</v>
      </c>
      <c r="C122" s="8">
        <v>43693</v>
      </c>
      <c r="D122" s="7" t="s">
        <v>142</v>
      </c>
      <c r="E122" s="8">
        <v>43685</v>
      </c>
      <c r="F122" s="7">
        <v>0</v>
      </c>
      <c r="G122" s="7">
        <v>0</v>
      </c>
      <c r="H122" s="8">
        <v>43693</v>
      </c>
      <c r="I122" s="8">
        <v>43715</v>
      </c>
      <c r="J122" s="7" t="s">
        <v>18</v>
      </c>
      <c r="K122" s="9">
        <v>1054.5</v>
      </c>
      <c r="L122" s="7">
        <v>0</v>
      </c>
      <c r="M122" s="9">
        <v>1054.5</v>
      </c>
      <c r="N122" s="7">
        <v>-22</v>
      </c>
      <c r="O122" s="10">
        <f t="shared" si="2"/>
        <v>-23199</v>
      </c>
      <c r="P122" s="5" t="s">
        <v>19</v>
      </c>
      <c r="Q122" s="11"/>
      <c r="R122" s="5" t="s">
        <v>130</v>
      </c>
    </row>
    <row r="123" spans="1:18" s="5" customFormat="1" x14ac:dyDescent="0.25">
      <c r="A123" s="6" t="s">
        <v>117</v>
      </c>
      <c r="B123" s="7">
        <v>1404</v>
      </c>
      <c r="C123" s="8">
        <v>43690</v>
      </c>
      <c r="D123" s="7" t="str">
        <f>"0001122350"</f>
        <v>0001122350</v>
      </c>
      <c r="E123" s="8">
        <v>43677</v>
      </c>
      <c r="F123" s="7">
        <v>0</v>
      </c>
      <c r="G123" s="7">
        <v>0</v>
      </c>
      <c r="H123" s="8">
        <v>43690</v>
      </c>
      <c r="I123" s="8">
        <v>43712</v>
      </c>
      <c r="J123" s="7" t="s">
        <v>18</v>
      </c>
      <c r="K123" s="7">
        <v>465.4</v>
      </c>
      <c r="L123" s="7">
        <v>0</v>
      </c>
      <c r="M123" s="7">
        <v>465.4</v>
      </c>
      <c r="N123" s="7">
        <v>-22</v>
      </c>
      <c r="O123" s="10">
        <f t="shared" si="2"/>
        <v>-10238.799999999999</v>
      </c>
      <c r="P123" s="5" t="s">
        <v>19</v>
      </c>
      <c r="Q123" s="11"/>
      <c r="R123" s="5" t="s">
        <v>118</v>
      </c>
    </row>
    <row r="124" spans="1:18" s="5" customFormat="1" x14ac:dyDescent="0.25">
      <c r="A124" s="6" t="s">
        <v>117</v>
      </c>
      <c r="B124" s="7">
        <v>1404</v>
      </c>
      <c r="C124" s="8">
        <v>43690</v>
      </c>
      <c r="D124" s="7" t="str">
        <f>"0001122869"</f>
        <v>0001122869</v>
      </c>
      <c r="E124" s="8">
        <v>43677</v>
      </c>
      <c r="F124" s="7">
        <v>0</v>
      </c>
      <c r="G124" s="7">
        <v>0</v>
      </c>
      <c r="H124" s="8">
        <v>43690</v>
      </c>
      <c r="I124" s="8">
        <v>43712</v>
      </c>
      <c r="J124" s="7" t="s">
        <v>18</v>
      </c>
      <c r="K124" s="9">
        <v>1529.5</v>
      </c>
      <c r="L124" s="7">
        <v>0</v>
      </c>
      <c r="M124" s="9">
        <v>1529.5</v>
      </c>
      <c r="N124" s="7">
        <v>-22</v>
      </c>
      <c r="O124" s="10">
        <f t="shared" si="2"/>
        <v>-33649</v>
      </c>
      <c r="P124" s="5" t="s">
        <v>19</v>
      </c>
      <c r="Q124" s="11"/>
      <c r="R124" s="5" t="s">
        <v>118</v>
      </c>
    </row>
    <row r="125" spans="1:18" s="5" customFormat="1" x14ac:dyDescent="0.25">
      <c r="A125" s="6" t="s">
        <v>39</v>
      </c>
      <c r="B125" s="7">
        <v>1095</v>
      </c>
      <c r="C125" s="8">
        <v>43658</v>
      </c>
      <c r="D125" s="7" t="s">
        <v>143</v>
      </c>
      <c r="E125" s="8">
        <v>43644</v>
      </c>
      <c r="F125" s="7">
        <v>0</v>
      </c>
      <c r="G125" s="7">
        <v>0</v>
      </c>
      <c r="H125" s="8">
        <v>43658</v>
      </c>
      <c r="I125" s="8">
        <v>43680</v>
      </c>
      <c r="J125" s="7" t="s">
        <v>18</v>
      </c>
      <c r="K125" s="7">
        <v>696.01</v>
      </c>
      <c r="L125" s="7">
        <v>125.51</v>
      </c>
      <c r="M125" s="7">
        <v>570.5</v>
      </c>
      <c r="N125" s="7">
        <v>-22</v>
      </c>
      <c r="O125" s="10">
        <f t="shared" si="2"/>
        <v>-12551</v>
      </c>
      <c r="P125" s="5" t="s">
        <v>19</v>
      </c>
      <c r="Q125" s="11"/>
      <c r="R125" s="5" t="s">
        <v>41</v>
      </c>
    </row>
    <row r="126" spans="1:18" s="5" customFormat="1" x14ac:dyDescent="0.25">
      <c r="A126" s="6" t="s">
        <v>39</v>
      </c>
      <c r="B126" s="7">
        <v>1094</v>
      </c>
      <c r="C126" s="8">
        <v>43658</v>
      </c>
      <c r="D126" s="7" t="s">
        <v>144</v>
      </c>
      <c r="E126" s="8">
        <v>43644</v>
      </c>
      <c r="F126" s="7">
        <v>0</v>
      </c>
      <c r="G126" s="7">
        <v>0</v>
      </c>
      <c r="H126" s="8">
        <v>43658</v>
      </c>
      <c r="I126" s="8">
        <v>43680</v>
      </c>
      <c r="J126" s="7" t="s">
        <v>18</v>
      </c>
      <c r="K126" s="7">
        <v>696.01</v>
      </c>
      <c r="L126" s="7">
        <v>125.51</v>
      </c>
      <c r="M126" s="7">
        <v>570.5</v>
      </c>
      <c r="N126" s="7">
        <v>-22</v>
      </c>
      <c r="O126" s="10">
        <f t="shared" si="2"/>
        <v>-12551</v>
      </c>
      <c r="P126" s="5" t="s">
        <v>19</v>
      </c>
      <c r="Q126" s="11"/>
      <c r="R126" s="5" t="s">
        <v>41</v>
      </c>
    </row>
    <row r="127" spans="1:18" s="5" customFormat="1" x14ac:dyDescent="0.25">
      <c r="A127" s="6" t="s">
        <v>66</v>
      </c>
      <c r="B127" s="7">
        <v>1109</v>
      </c>
      <c r="C127" s="8">
        <v>43658</v>
      </c>
      <c r="D127" s="7" t="s">
        <v>145</v>
      </c>
      <c r="E127" s="8">
        <v>43648</v>
      </c>
      <c r="F127" s="7">
        <v>0</v>
      </c>
      <c r="G127" s="7">
        <v>0</v>
      </c>
      <c r="H127" s="8">
        <v>43658</v>
      </c>
      <c r="I127" s="8">
        <v>43680</v>
      </c>
      <c r="J127" s="7" t="s">
        <v>18</v>
      </c>
      <c r="K127" s="9">
        <v>2926.38</v>
      </c>
      <c r="L127" s="7">
        <v>527.71</v>
      </c>
      <c r="M127" s="9">
        <v>2398.67</v>
      </c>
      <c r="N127" s="7">
        <v>-22</v>
      </c>
      <c r="O127" s="10">
        <f t="shared" si="2"/>
        <v>-52770.740000000005</v>
      </c>
      <c r="P127" s="5" t="s">
        <v>19</v>
      </c>
      <c r="Q127" s="11"/>
      <c r="R127" s="5" t="s">
        <v>68</v>
      </c>
    </row>
    <row r="128" spans="1:18" s="5" customFormat="1" x14ac:dyDescent="0.25">
      <c r="A128" s="6" t="s">
        <v>146</v>
      </c>
      <c r="B128" s="7">
        <v>1289</v>
      </c>
      <c r="C128" s="8">
        <v>43672</v>
      </c>
      <c r="D128" s="7" t="str">
        <f>"39"</f>
        <v>39</v>
      </c>
      <c r="E128" s="8">
        <v>43664</v>
      </c>
      <c r="F128" s="7">
        <v>0</v>
      </c>
      <c r="G128" s="7">
        <v>0</v>
      </c>
      <c r="H128" s="8">
        <v>43672</v>
      </c>
      <c r="I128" s="8">
        <v>43694</v>
      </c>
      <c r="J128" s="7" t="s">
        <v>18</v>
      </c>
      <c r="K128" s="9">
        <v>1220</v>
      </c>
      <c r="L128" s="7">
        <v>220</v>
      </c>
      <c r="M128" s="9">
        <v>1000</v>
      </c>
      <c r="N128" s="7">
        <v>-22</v>
      </c>
      <c r="O128" s="10">
        <f t="shared" si="2"/>
        <v>-22000</v>
      </c>
      <c r="P128" s="5" t="s">
        <v>19</v>
      </c>
      <c r="Q128" s="11"/>
      <c r="R128" s="5" t="s">
        <v>147</v>
      </c>
    </row>
    <row r="129" spans="1:18" s="5" customFormat="1" x14ac:dyDescent="0.25">
      <c r="A129" s="6" t="s">
        <v>117</v>
      </c>
      <c r="B129" s="7">
        <v>1154</v>
      </c>
      <c r="C129" s="8">
        <v>43664</v>
      </c>
      <c r="D129" s="7" t="str">
        <f>"0002130498"</f>
        <v>0002130498</v>
      </c>
      <c r="E129" s="8">
        <v>43646</v>
      </c>
      <c r="F129" s="7">
        <v>0</v>
      </c>
      <c r="G129" s="7">
        <v>0</v>
      </c>
      <c r="H129" s="8">
        <v>43664</v>
      </c>
      <c r="I129" s="8">
        <v>43687</v>
      </c>
      <c r="J129" s="7" t="s">
        <v>18</v>
      </c>
      <c r="K129" s="7">
        <v>894.87</v>
      </c>
      <c r="L129" s="7">
        <v>161.37</v>
      </c>
      <c r="M129" s="7">
        <v>733.5</v>
      </c>
      <c r="N129" s="7">
        <v>-23</v>
      </c>
      <c r="O129" s="10">
        <f t="shared" si="2"/>
        <v>-16870.5</v>
      </c>
      <c r="P129" s="5" t="s">
        <v>19</v>
      </c>
      <c r="Q129" s="11"/>
      <c r="R129" s="5" t="s">
        <v>118</v>
      </c>
    </row>
    <row r="130" spans="1:18" s="5" customFormat="1" x14ac:dyDescent="0.25">
      <c r="A130" s="6" t="s">
        <v>117</v>
      </c>
      <c r="B130" s="7">
        <v>1107</v>
      </c>
      <c r="C130" s="8">
        <v>43658</v>
      </c>
      <c r="D130" s="7" t="str">
        <f>"0001119113"</f>
        <v>0001119113</v>
      </c>
      <c r="E130" s="8">
        <v>43646</v>
      </c>
      <c r="F130" s="7">
        <v>0</v>
      </c>
      <c r="G130" s="7">
        <v>0</v>
      </c>
      <c r="H130" s="8">
        <v>43658</v>
      </c>
      <c r="I130" s="8">
        <v>43681</v>
      </c>
      <c r="J130" s="7" t="s">
        <v>18</v>
      </c>
      <c r="K130" s="9">
        <v>1329.8</v>
      </c>
      <c r="L130" s="7">
        <v>0</v>
      </c>
      <c r="M130" s="9">
        <v>1329.8</v>
      </c>
      <c r="N130" s="7">
        <v>-23</v>
      </c>
      <c r="O130" s="10">
        <f t="shared" si="2"/>
        <v>-30585.399999999998</v>
      </c>
      <c r="P130" s="5" t="s">
        <v>19</v>
      </c>
      <c r="Q130" s="11"/>
      <c r="R130" s="5" t="s">
        <v>118</v>
      </c>
    </row>
    <row r="131" spans="1:18" s="5" customFormat="1" x14ac:dyDescent="0.25">
      <c r="A131" s="6" t="s">
        <v>148</v>
      </c>
      <c r="B131" s="7">
        <v>1113</v>
      </c>
      <c r="C131" s="8">
        <v>43658</v>
      </c>
      <c r="D131" s="13">
        <v>25000</v>
      </c>
      <c r="E131" s="8">
        <v>43650</v>
      </c>
      <c r="F131" s="7">
        <v>0</v>
      </c>
      <c r="G131" s="7">
        <v>0</v>
      </c>
      <c r="H131" s="8">
        <v>43658</v>
      </c>
      <c r="I131" s="8">
        <v>43681</v>
      </c>
      <c r="J131" s="7" t="s">
        <v>18</v>
      </c>
      <c r="K131" s="7">
        <v>427</v>
      </c>
      <c r="L131" s="7">
        <v>77</v>
      </c>
      <c r="M131" s="7">
        <v>350</v>
      </c>
      <c r="N131" s="7">
        <v>-23</v>
      </c>
      <c r="O131" s="10">
        <f t="shared" ref="O131:O187" si="3">+N131*M131</f>
        <v>-8050</v>
      </c>
      <c r="P131" s="5" t="s">
        <v>19</v>
      </c>
      <c r="Q131" s="11"/>
      <c r="R131" s="5" t="s">
        <v>139</v>
      </c>
    </row>
    <row r="132" spans="1:18" s="5" customFormat="1" x14ac:dyDescent="0.25">
      <c r="A132" s="6" t="s">
        <v>45</v>
      </c>
      <c r="B132" s="7">
        <v>1447</v>
      </c>
      <c r="C132" s="8">
        <v>43718</v>
      </c>
      <c r="D132" s="7" t="s">
        <v>149</v>
      </c>
      <c r="E132" s="8">
        <v>43707</v>
      </c>
      <c r="F132" s="7">
        <v>0</v>
      </c>
      <c r="G132" s="7">
        <v>0</v>
      </c>
      <c r="H132" s="8">
        <v>43718</v>
      </c>
      <c r="I132" s="8">
        <v>43741</v>
      </c>
      <c r="J132" s="7" t="s">
        <v>18</v>
      </c>
      <c r="K132" s="9">
        <v>1418.62</v>
      </c>
      <c r="L132" s="7">
        <v>255.82</v>
      </c>
      <c r="M132" s="9">
        <v>1162.8</v>
      </c>
      <c r="N132" s="7">
        <v>-23</v>
      </c>
      <c r="O132" s="10">
        <f t="shared" si="3"/>
        <v>-26744.399999999998</v>
      </c>
      <c r="P132" s="5" t="s">
        <v>19</v>
      </c>
      <c r="Q132" s="11"/>
      <c r="R132" s="5" t="s">
        <v>47</v>
      </c>
    </row>
    <row r="133" spans="1:18" s="5" customFormat="1" ht="25.5" x14ac:dyDescent="0.25">
      <c r="A133" s="6" t="s">
        <v>150</v>
      </c>
      <c r="B133" s="7">
        <v>1443</v>
      </c>
      <c r="C133" s="8">
        <v>43712</v>
      </c>
      <c r="D133" s="7" t="str">
        <f>"1010564714"</f>
        <v>1010564714</v>
      </c>
      <c r="E133" s="8">
        <v>43705</v>
      </c>
      <c r="F133" s="7">
        <v>0</v>
      </c>
      <c r="G133" s="7">
        <v>0</v>
      </c>
      <c r="H133" s="8">
        <v>43712</v>
      </c>
      <c r="I133" s="8">
        <v>43735</v>
      </c>
      <c r="J133" s="7" t="s">
        <v>18</v>
      </c>
      <c r="K133" s="7">
        <v>149.05000000000001</v>
      </c>
      <c r="L133" s="7">
        <v>26.88</v>
      </c>
      <c r="M133" s="7">
        <v>122.17</v>
      </c>
      <c r="N133" s="7">
        <v>-23</v>
      </c>
      <c r="O133" s="10">
        <f t="shared" si="3"/>
        <v>-2809.91</v>
      </c>
      <c r="P133" s="5" t="s">
        <v>19</v>
      </c>
      <c r="Q133" s="11"/>
      <c r="R133" s="5" t="s">
        <v>151</v>
      </c>
    </row>
    <row r="134" spans="1:18" s="5" customFormat="1" ht="25.5" x14ac:dyDescent="0.25">
      <c r="A134" s="6" t="s">
        <v>150</v>
      </c>
      <c r="B134" s="7">
        <v>1443</v>
      </c>
      <c r="C134" s="8">
        <v>43712</v>
      </c>
      <c r="D134" s="7" t="str">
        <f>"1010564997"</f>
        <v>1010564997</v>
      </c>
      <c r="E134" s="8">
        <v>43705</v>
      </c>
      <c r="F134" s="7">
        <v>0</v>
      </c>
      <c r="G134" s="7">
        <v>0</v>
      </c>
      <c r="H134" s="8">
        <v>43712</v>
      </c>
      <c r="I134" s="8">
        <v>43735</v>
      </c>
      <c r="J134" s="7" t="s">
        <v>18</v>
      </c>
      <c r="K134" s="7">
        <v>434.91</v>
      </c>
      <c r="L134" s="7">
        <v>78.430000000000007</v>
      </c>
      <c r="M134" s="7">
        <v>356.48</v>
      </c>
      <c r="N134" s="7">
        <v>-23</v>
      </c>
      <c r="O134" s="10">
        <f t="shared" si="3"/>
        <v>-8199.0400000000009</v>
      </c>
      <c r="P134" s="5" t="s">
        <v>19</v>
      </c>
      <c r="Q134" s="11"/>
      <c r="R134" s="5" t="s">
        <v>151</v>
      </c>
    </row>
    <row r="135" spans="1:18" s="5" customFormat="1" x14ac:dyDescent="0.25">
      <c r="A135" s="6" t="s">
        <v>152</v>
      </c>
      <c r="B135" s="7">
        <v>1461</v>
      </c>
      <c r="C135" s="8">
        <v>43722</v>
      </c>
      <c r="D135" s="7" t="str">
        <f>"000150"</f>
        <v>000150</v>
      </c>
      <c r="E135" s="8">
        <v>43708</v>
      </c>
      <c r="F135" s="7">
        <v>0</v>
      </c>
      <c r="G135" s="7">
        <v>0</v>
      </c>
      <c r="H135" s="8">
        <v>43724</v>
      </c>
      <c r="I135" s="8">
        <v>43747</v>
      </c>
      <c r="J135" s="7" t="s">
        <v>18</v>
      </c>
      <c r="K135" s="7">
        <v>31.66</v>
      </c>
      <c r="L135" s="7">
        <v>5.51</v>
      </c>
      <c r="M135" s="7">
        <v>26.15</v>
      </c>
      <c r="N135" s="7">
        <v>-23</v>
      </c>
      <c r="O135" s="10">
        <f t="shared" si="3"/>
        <v>-601.44999999999993</v>
      </c>
      <c r="P135" s="5" t="s">
        <v>19</v>
      </c>
      <c r="Q135" s="11"/>
      <c r="R135" s="5" t="s">
        <v>58</v>
      </c>
    </row>
    <row r="136" spans="1:18" s="5" customFormat="1" x14ac:dyDescent="0.25">
      <c r="A136" s="6" t="s">
        <v>152</v>
      </c>
      <c r="B136" s="7">
        <v>1461</v>
      </c>
      <c r="C136" s="8">
        <v>43722</v>
      </c>
      <c r="D136" s="7" t="str">
        <f>"000149"</f>
        <v>000149</v>
      </c>
      <c r="E136" s="8">
        <v>43708</v>
      </c>
      <c r="F136" s="7">
        <v>0</v>
      </c>
      <c r="G136" s="7">
        <v>0</v>
      </c>
      <c r="H136" s="8">
        <v>43724</v>
      </c>
      <c r="I136" s="8">
        <v>43747</v>
      </c>
      <c r="J136" s="7" t="s">
        <v>18</v>
      </c>
      <c r="K136" s="7">
        <v>12.81</v>
      </c>
      <c r="L136" s="7">
        <v>2.31</v>
      </c>
      <c r="M136" s="7">
        <v>10.5</v>
      </c>
      <c r="N136" s="7">
        <v>-23</v>
      </c>
      <c r="O136" s="10">
        <f t="shared" si="3"/>
        <v>-241.5</v>
      </c>
      <c r="P136" s="5" t="s">
        <v>19</v>
      </c>
      <c r="Q136" s="11"/>
      <c r="R136" s="5" t="s">
        <v>58</v>
      </c>
    </row>
    <row r="137" spans="1:18" s="5" customFormat="1" x14ac:dyDescent="0.25">
      <c r="A137" s="6" t="s">
        <v>153</v>
      </c>
      <c r="B137" s="7">
        <v>1572</v>
      </c>
      <c r="C137" s="8">
        <v>43727</v>
      </c>
      <c r="D137" s="7" t="s">
        <v>154</v>
      </c>
      <c r="E137" s="8">
        <v>43719</v>
      </c>
      <c r="F137" s="7">
        <v>0</v>
      </c>
      <c r="G137" s="7">
        <v>0</v>
      </c>
      <c r="H137" s="8">
        <v>43727</v>
      </c>
      <c r="I137" s="8">
        <v>43750</v>
      </c>
      <c r="J137" s="7" t="s">
        <v>18</v>
      </c>
      <c r="K137" s="9">
        <v>1000</v>
      </c>
      <c r="L137" s="7">
        <v>180.33</v>
      </c>
      <c r="M137" s="7">
        <v>819.67</v>
      </c>
      <c r="N137" s="7">
        <v>-23</v>
      </c>
      <c r="O137" s="10">
        <f t="shared" si="3"/>
        <v>-18852.41</v>
      </c>
      <c r="P137" s="5" t="s">
        <v>19</v>
      </c>
      <c r="Q137" s="11"/>
      <c r="R137" s="5" t="s">
        <v>139</v>
      </c>
    </row>
    <row r="138" spans="1:18" s="5" customFormat="1" x14ac:dyDescent="0.25">
      <c r="A138" s="6" t="s">
        <v>155</v>
      </c>
      <c r="B138" s="7">
        <v>1112</v>
      </c>
      <c r="C138" s="8">
        <v>43658</v>
      </c>
      <c r="D138" s="7" t="str">
        <f>"0000066"</f>
        <v>0000066</v>
      </c>
      <c r="E138" s="8">
        <v>43650</v>
      </c>
      <c r="F138" s="7">
        <v>0</v>
      </c>
      <c r="G138" s="7">
        <v>0</v>
      </c>
      <c r="H138" s="8">
        <v>43658</v>
      </c>
      <c r="I138" s="8">
        <v>43682</v>
      </c>
      <c r="J138" s="7" t="s">
        <v>18</v>
      </c>
      <c r="K138" s="9">
        <v>2379</v>
      </c>
      <c r="L138" s="7">
        <v>429</v>
      </c>
      <c r="M138" s="9">
        <v>1950</v>
      </c>
      <c r="N138" s="7">
        <v>-24</v>
      </c>
      <c r="O138" s="10">
        <f t="shared" si="3"/>
        <v>-46800</v>
      </c>
      <c r="P138" s="5" t="s">
        <v>19</v>
      </c>
      <c r="Q138" s="11"/>
      <c r="R138" s="5" t="s">
        <v>15</v>
      </c>
    </row>
    <row r="139" spans="1:18" s="5" customFormat="1" x14ac:dyDescent="0.25">
      <c r="A139" s="6" t="s">
        <v>117</v>
      </c>
      <c r="B139" s="7">
        <v>1463</v>
      </c>
      <c r="C139" s="8">
        <v>43722</v>
      </c>
      <c r="D139" s="7" t="str">
        <f>"0002138471"</f>
        <v>0002138471</v>
      </c>
      <c r="E139" s="8">
        <v>43708</v>
      </c>
      <c r="F139" s="7">
        <v>0</v>
      </c>
      <c r="G139" s="7">
        <v>0</v>
      </c>
      <c r="H139" s="8">
        <v>43724</v>
      </c>
      <c r="I139" s="8">
        <v>43748</v>
      </c>
      <c r="J139" s="7" t="s">
        <v>18</v>
      </c>
      <c r="K139" s="7">
        <v>186.66</v>
      </c>
      <c r="L139" s="7">
        <v>33.659999999999997</v>
      </c>
      <c r="M139" s="7">
        <v>153</v>
      </c>
      <c r="N139" s="7">
        <v>-24</v>
      </c>
      <c r="O139" s="10">
        <f t="shared" si="3"/>
        <v>-3672</v>
      </c>
      <c r="P139" s="5" t="s">
        <v>19</v>
      </c>
      <c r="Q139" s="11"/>
      <c r="R139" s="5" t="s">
        <v>118</v>
      </c>
    </row>
    <row r="140" spans="1:18" s="5" customFormat="1" ht="25.5" x14ac:dyDescent="0.25">
      <c r="A140" s="6" t="s">
        <v>32</v>
      </c>
      <c r="B140" s="7">
        <v>1406</v>
      </c>
      <c r="C140" s="8">
        <v>43690</v>
      </c>
      <c r="D140" s="7" t="str">
        <f>"8019107000"</f>
        <v>8019107000</v>
      </c>
      <c r="E140" s="8">
        <v>43684</v>
      </c>
      <c r="F140" s="7">
        <v>0</v>
      </c>
      <c r="G140" s="7">
        <v>0</v>
      </c>
      <c r="H140" s="8">
        <v>43690</v>
      </c>
      <c r="I140" s="8">
        <v>43714</v>
      </c>
      <c r="J140" s="7" t="s">
        <v>18</v>
      </c>
      <c r="K140" s="7">
        <v>18.100000000000001</v>
      </c>
      <c r="L140" s="7">
        <v>18.100000000000001</v>
      </c>
      <c r="M140" s="7">
        <v>0</v>
      </c>
      <c r="N140" s="7">
        <v>-24</v>
      </c>
      <c r="O140" s="10">
        <f t="shared" si="3"/>
        <v>0</v>
      </c>
      <c r="P140" s="5" t="s">
        <v>19</v>
      </c>
      <c r="Q140" s="11"/>
      <c r="R140" s="5" t="s">
        <v>33</v>
      </c>
    </row>
    <row r="141" spans="1:18" s="5" customFormat="1" x14ac:dyDescent="0.25">
      <c r="A141" s="6" t="s">
        <v>156</v>
      </c>
      <c r="B141" s="7">
        <v>1401</v>
      </c>
      <c r="C141" s="8">
        <v>43690</v>
      </c>
      <c r="D141" s="7" t="str">
        <f>"207"</f>
        <v>207</v>
      </c>
      <c r="E141" s="8">
        <v>43677</v>
      </c>
      <c r="F141" s="7">
        <v>0</v>
      </c>
      <c r="G141" s="7">
        <v>0</v>
      </c>
      <c r="H141" s="8">
        <v>43690</v>
      </c>
      <c r="I141" s="8">
        <v>43714</v>
      </c>
      <c r="J141" s="7" t="s">
        <v>18</v>
      </c>
      <c r="K141" s="7">
        <v>921.1</v>
      </c>
      <c r="L141" s="7">
        <v>166.1</v>
      </c>
      <c r="M141" s="7">
        <v>755</v>
      </c>
      <c r="N141" s="7">
        <v>-24</v>
      </c>
      <c r="O141" s="10">
        <f t="shared" si="3"/>
        <v>-18120</v>
      </c>
      <c r="P141" s="5" t="s">
        <v>19</v>
      </c>
      <c r="Q141" s="11"/>
      <c r="R141" s="5" t="s">
        <v>157</v>
      </c>
    </row>
    <row r="142" spans="1:18" s="5" customFormat="1" x14ac:dyDescent="0.25">
      <c r="A142" s="6" t="s">
        <v>152</v>
      </c>
      <c r="B142" s="7">
        <v>1108</v>
      </c>
      <c r="C142" s="8">
        <v>43658</v>
      </c>
      <c r="D142" s="7" t="str">
        <f>"000116"</f>
        <v>000116</v>
      </c>
      <c r="E142" s="8">
        <v>43646</v>
      </c>
      <c r="F142" s="7">
        <v>0</v>
      </c>
      <c r="G142" s="7">
        <v>0</v>
      </c>
      <c r="H142" s="8">
        <v>43658</v>
      </c>
      <c r="I142" s="8">
        <v>43682</v>
      </c>
      <c r="J142" s="7" t="s">
        <v>18</v>
      </c>
      <c r="K142" s="7">
        <v>38.76</v>
      </c>
      <c r="L142" s="7">
        <v>5.51</v>
      </c>
      <c r="M142" s="7">
        <v>33.25</v>
      </c>
      <c r="N142" s="7">
        <v>-24</v>
      </c>
      <c r="O142" s="10">
        <f t="shared" si="3"/>
        <v>-798</v>
      </c>
      <c r="P142" s="5" t="s">
        <v>19</v>
      </c>
      <c r="Q142" s="11"/>
      <c r="R142" s="5" t="s">
        <v>58</v>
      </c>
    </row>
    <row r="143" spans="1:18" s="5" customFormat="1" x14ac:dyDescent="0.25">
      <c r="A143" s="6" t="s">
        <v>117</v>
      </c>
      <c r="B143" s="7">
        <v>1405</v>
      </c>
      <c r="C143" s="8">
        <v>43690</v>
      </c>
      <c r="D143" s="7" t="str">
        <f>"0002136330"</f>
        <v>0002136330</v>
      </c>
      <c r="E143" s="8">
        <v>43677</v>
      </c>
      <c r="F143" s="7">
        <v>0</v>
      </c>
      <c r="G143" s="7">
        <v>0</v>
      </c>
      <c r="H143" s="8">
        <v>43690</v>
      </c>
      <c r="I143" s="8">
        <v>43715</v>
      </c>
      <c r="J143" s="7" t="s">
        <v>18</v>
      </c>
      <c r="K143" s="7">
        <v>118.95</v>
      </c>
      <c r="L143" s="7">
        <v>21.45</v>
      </c>
      <c r="M143" s="7">
        <v>97.5</v>
      </c>
      <c r="N143" s="7">
        <v>-25</v>
      </c>
      <c r="O143" s="10">
        <f t="shared" si="3"/>
        <v>-2437.5</v>
      </c>
      <c r="P143" s="5" t="s">
        <v>19</v>
      </c>
      <c r="Q143" s="11"/>
      <c r="R143" s="5" t="s">
        <v>118</v>
      </c>
    </row>
    <row r="144" spans="1:18" s="5" customFormat="1" x14ac:dyDescent="0.25">
      <c r="A144" s="6" t="s">
        <v>117</v>
      </c>
      <c r="B144" s="7">
        <v>1405</v>
      </c>
      <c r="C144" s="8">
        <v>43690</v>
      </c>
      <c r="D144" s="7" t="str">
        <f>"0002135671"</f>
        <v>0002135671</v>
      </c>
      <c r="E144" s="8">
        <v>43677</v>
      </c>
      <c r="F144" s="7">
        <v>0</v>
      </c>
      <c r="G144" s="7">
        <v>0</v>
      </c>
      <c r="H144" s="8">
        <v>43690</v>
      </c>
      <c r="I144" s="8">
        <v>43715</v>
      </c>
      <c r="J144" s="7" t="s">
        <v>18</v>
      </c>
      <c r="K144" s="7">
        <v>883.89</v>
      </c>
      <c r="L144" s="7">
        <v>0</v>
      </c>
      <c r="M144" s="7">
        <v>883.89</v>
      </c>
      <c r="N144" s="7">
        <v>-25</v>
      </c>
      <c r="O144" s="10">
        <f t="shared" si="3"/>
        <v>-22097.25</v>
      </c>
      <c r="P144" s="5" t="s">
        <v>19</v>
      </c>
      <c r="Q144" s="11"/>
      <c r="R144" s="5" t="s">
        <v>118</v>
      </c>
    </row>
    <row r="145" spans="1:18" s="5" customFormat="1" x14ac:dyDescent="0.25">
      <c r="A145" s="6" t="s">
        <v>117</v>
      </c>
      <c r="B145" s="7">
        <v>1405</v>
      </c>
      <c r="C145" s="8">
        <v>43690</v>
      </c>
      <c r="D145" s="7" t="str">
        <f>"0002136005"</f>
        <v>0002136005</v>
      </c>
      <c r="E145" s="8">
        <v>43677</v>
      </c>
      <c r="F145" s="7">
        <v>0</v>
      </c>
      <c r="G145" s="7">
        <v>0</v>
      </c>
      <c r="H145" s="8">
        <v>43690</v>
      </c>
      <c r="I145" s="8">
        <v>43715</v>
      </c>
      <c r="J145" s="7" t="s">
        <v>18</v>
      </c>
      <c r="K145" s="7">
        <v>241.56</v>
      </c>
      <c r="L145" s="7">
        <v>43.56</v>
      </c>
      <c r="M145" s="7">
        <v>198</v>
      </c>
      <c r="N145" s="7">
        <v>-25</v>
      </c>
      <c r="O145" s="10">
        <f t="shared" si="3"/>
        <v>-4950</v>
      </c>
      <c r="P145" s="5" t="s">
        <v>19</v>
      </c>
      <c r="Q145" s="11"/>
      <c r="R145" s="5" t="s">
        <v>118</v>
      </c>
    </row>
    <row r="146" spans="1:18" s="5" customFormat="1" x14ac:dyDescent="0.25">
      <c r="A146" s="6" t="s">
        <v>117</v>
      </c>
      <c r="B146" s="7">
        <v>1107</v>
      </c>
      <c r="C146" s="8">
        <v>43658</v>
      </c>
      <c r="D146" s="7" t="str">
        <f>"0001118607"</f>
        <v>0001118607</v>
      </c>
      <c r="E146" s="8">
        <v>43646</v>
      </c>
      <c r="F146" s="7">
        <v>0</v>
      </c>
      <c r="G146" s="7">
        <v>0</v>
      </c>
      <c r="H146" s="8">
        <v>43658</v>
      </c>
      <c r="I146" s="8">
        <v>43683</v>
      </c>
      <c r="J146" s="7" t="s">
        <v>18</v>
      </c>
      <c r="K146" s="7">
        <v>581.29999999999995</v>
      </c>
      <c r="L146" s="7">
        <v>0</v>
      </c>
      <c r="M146" s="7">
        <v>581.29999999999995</v>
      </c>
      <c r="N146" s="7">
        <v>-25</v>
      </c>
      <c r="O146" s="10">
        <f t="shared" si="3"/>
        <v>-14532.499999999998</v>
      </c>
      <c r="P146" s="5" t="s">
        <v>19</v>
      </c>
      <c r="Q146" s="11"/>
      <c r="R146" s="5" t="s">
        <v>118</v>
      </c>
    </row>
    <row r="147" spans="1:18" s="5" customFormat="1" x14ac:dyDescent="0.25">
      <c r="A147" s="6" t="s">
        <v>158</v>
      </c>
      <c r="B147" s="7">
        <v>1065</v>
      </c>
      <c r="C147" s="8">
        <v>43652</v>
      </c>
      <c r="D147" s="7" t="str">
        <f>"0004500243"</f>
        <v>0004500243</v>
      </c>
      <c r="E147" s="8">
        <v>43646</v>
      </c>
      <c r="F147" s="7">
        <v>0</v>
      </c>
      <c r="G147" s="7">
        <v>0</v>
      </c>
      <c r="H147" s="8">
        <v>43652</v>
      </c>
      <c r="I147" s="8">
        <v>43677</v>
      </c>
      <c r="J147" s="7" t="s">
        <v>18</v>
      </c>
      <c r="K147" s="7">
        <v>265.5</v>
      </c>
      <c r="L147" s="7">
        <v>0</v>
      </c>
      <c r="M147" s="7">
        <v>265.5</v>
      </c>
      <c r="N147" s="7">
        <v>-25</v>
      </c>
      <c r="O147" s="10">
        <f t="shared" si="3"/>
        <v>-6637.5</v>
      </c>
      <c r="P147" s="5" t="s">
        <v>19</v>
      </c>
      <c r="Q147" s="11"/>
      <c r="R147" s="5" t="s">
        <v>113</v>
      </c>
    </row>
    <row r="148" spans="1:18" s="5" customFormat="1" x14ac:dyDescent="0.25">
      <c r="A148" s="6" t="s">
        <v>159</v>
      </c>
      <c r="B148" s="7">
        <v>1097</v>
      </c>
      <c r="C148" s="8">
        <v>43658</v>
      </c>
      <c r="D148" s="7" t="str">
        <f>"00020190016"</f>
        <v>00020190016</v>
      </c>
      <c r="E148" s="8">
        <v>43646</v>
      </c>
      <c r="F148" s="7">
        <v>0</v>
      </c>
      <c r="G148" s="7">
        <v>0</v>
      </c>
      <c r="H148" s="8">
        <v>43658</v>
      </c>
      <c r="I148" s="8">
        <v>43684</v>
      </c>
      <c r="J148" s="7" t="s">
        <v>18</v>
      </c>
      <c r="K148" s="9">
        <v>96387.78</v>
      </c>
      <c r="L148" s="9">
        <v>8762.5300000000007</v>
      </c>
      <c r="M148" s="9">
        <v>87625.25</v>
      </c>
      <c r="N148" s="7">
        <v>-26</v>
      </c>
      <c r="O148" s="10">
        <f t="shared" si="3"/>
        <v>-2278256.5</v>
      </c>
      <c r="P148" s="5" t="s">
        <v>19</v>
      </c>
      <c r="Q148" s="11"/>
      <c r="R148" s="5" t="s">
        <v>81</v>
      </c>
    </row>
    <row r="149" spans="1:18" s="5" customFormat="1" x14ac:dyDescent="0.25">
      <c r="A149" s="6" t="s">
        <v>119</v>
      </c>
      <c r="B149" s="7">
        <v>1444</v>
      </c>
      <c r="C149" s="8">
        <v>43712</v>
      </c>
      <c r="D149" s="7" t="str">
        <f>"13591"</f>
        <v>13591</v>
      </c>
      <c r="E149" s="8">
        <v>43707</v>
      </c>
      <c r="F149" s="7">
        <v>0</v>
      </c>
      <c r="G149" s="7">
        <v>0</v>
      </c>
      <c r="H149" s="8">
        <v>43712</v>
      </c>
      <c r="I149" s="8">
        <v>43738</v>
      </c>
      <c r="J149" s="7" t="s">
        <v>18</v>
      </c>
      <c r="K149" s="7">
        <v>167.3</v>
      </c>
      <c r="L149" s="7">
        <v>0</v>
      </c>
      <c r="M149" s="7">
        <v>167.3</v>
      </c>
      <c r="N149" s="7">
        <v>-26</v>
      </c>
      <c r="O149" s="10">
        <f t="shared" si="3"/>
        <v>-4349.8</v>
      </c>
      <c r="P149" s="5" t="s">
        <v>19</v>
      </c>
      <c r="Q149" s="11"/>
      <c r="R149" s="5" t="s">
        <v>15</v>
      </c>
    </row>
    <row r="150" spans="1:18" s="5" customFormat="1" x14ac:dyDescent="0.25">
      <c r="A150" s="6" t="s">
        <v>111</v>
      </c>
      <c r="B150" s="7">
        <v>1465</v>
      </c>
      <c r="C150" s="8">
        <v>43722</v>
      </c>
      <c r="D150" s="7" t="s">
        <v>160</v>
      </c>
      <c r="E150" s="8">
        <v>43720</v>
      </c>
      <c r="F150" s="7">
        <v>0</v>
      </c>
      <c r="G150" s="7">
        <v>0</v>
      </c>
      <c r="H150" s="8">
        <v>43724</v>
      </c>
      <c r="I150" s="8">
        <v>43750</v>
      </c>
      <c r="J150" s="7" t="s">
        <v>18</v>
      </c>
      <c r="K150" s="9">
        <v>39326.57</v>
      </c>
      <c r="L150" s="9">
        <v>7091.68</v>
      </c>
      <c r="M150" s="9">
        <v>32234.89</v>
      </c>
      <c r="N150" s="7">
        <v>-26</v>
      </c>
      <c r="O150" s="10">
        <f t="shared" si="3"/>
        <v>-838107.14</v>
      </c>
      <c r="P150" s="5" t="s">
        <v>19</v>
      </c>
      <c r="Q150" s="11"/>
      <c r="R150" s="5" t="s">
        <v>113</v>
      </c>
    </row>
    <row r="151" spans="1:18" s="5" customFormat="1" ht="25.5" x14ac:dyDescent="0.25">
      <c r="A151" s="6" t="s">
        <v>161</v>
      </c>
      <c r="B151" s="7">
        <v>1066</v>
      </c>
      <c r="C151" s="8">
        <v>43652</v>
      </c>
      <c r="D151" s="19" t="s">
        <v>209</v>
      </c>
      <c r="E151" s="8">
        <v>43647</v>
      </c>
      <c r="F151" s="7">
        <v>0</v>
      </c>
      <c r="G151" s="7">
        <v>0</v>
      </c>
      <c r="H151" s="8">
        <v>43652</v>
      </c>
      <c r="I151" s="8">
        <v>43679</v>
      </c>
      <c r="J151" s="7" t="s">
        <v>18</v>
      </c>
      <c r="K151" s="9">
        <v>2059.62</v>
      </c>
      <c r="L151" s="7">
        <v>0</v>
      </c>
      <c r="M151" s="9">
        <v>2059.62</v>
      </c>
      <c r="N151" s="7">
        <v>-27</v>
      </c>
      <c r="O151" s="10">
        <f t="shared" si="3"/>
        <v>-55609.74</v>
      </c>
      <c r="P151" s="5" t="s">
        <v>19</v>
      </c>
      <c r="Q151" s="11"/>
      <c r="R151" s="5" t="s">
        <v>162</v>
      </c>
    </row>
    <row r="152" spans="1:18" s="5" customFormat="1" x14ac:dyDescent="0.25">
      <c r="A152" s="6" t="s">
        <v>135</v>
      </c>
      <c r="B152" s="7">
        <v>1581</v>
      </c>
      <c r="C152" s="8">
        <v>43736</v>
      </c>
      <c r="D152" s="7" t="str">
        <f>"2019902297"</f>
        <v>2019902297</v>
      </c>
      <c r="E152" s="8">
        <v>43731</v>
      </c>
      <c r="F152" s="7">
        <v>0</v>
      </c>
      <c r="G152" s="7">
        <v>0</v>
      </c>
      <c r="H152" s="8">
        <v>43736</v>
      </c>
      <c r="I152" s="8">
        <v>43763</v>
      </c>
      <c r="J152" s="7" t="s">
        <v>18</v>
      </c>
      <c r="K152" s="7">
        <v>930.9</v>
      </c>
      <c r="L152" s="7">
        <v>0</v>
      </c>
      <c r="M152" s="7">
        <v>930.9</v>
      </c>
      <c r="N152" s="7">
        <v>-27</v>
      </c>
      <c r="O152" s="10">
        <f t="shared" si="3"/>
        <v>-25134.3</v>
      </c>
      <c r="P152" s="5" t="s">
        <v>19</v>
      </c>
      <c r="Q152" s="11"/>
      <c r="R152" s="5" t="s">
        <v>136</v>
      </c>
    </row>
    <row r="153" spans="1:18" s="5" customFormat="1" x14ac:dyDescent="0.25">
      <c r="A153" s="6" t="s">
        <v>163</v>
      </c>
      <c r="B153" s="7">
        <v>1152</v>
      </c>
      <c r="C153" s="8">
        <v>43664</v>
      </c>
      <c r="D153" s="7" t="s">
        <v>164</v>
      </c>
      <c r="E153" s="8">
        <v>43585</v>
      </c>
      <c r="F153" s="7">
        <v>0</v>
      </c>
      <c r="G153" s="7">
        <v>0</v>
      </c>
      <c r="H153" s="8">
        <v>43664</v>
      </c>
      <c r="I153" s="8">
        <v>43692</v>
      </c>
      <c r="J153" s="7" t="s">
        <v>18</v>
      </c>
      <c r="K153" s="7">
        <v>219.6</v>
      </c>
      <c r="L153" s="7">
        <v>39.6</v>
      </c>
      <c r="M153" s="7">
        <v>180</v>
      </c>
      <c r="N153" s="7">
        <v>-28</v>
      </c>
      <c r="O153" s="10">
        <f t="shared" si="3"/>
        <v>-5040</v>
      </c>
      <c r="P153" s="5" t="s">
        <v>19</v>
      </c>
      <c r="Q153" s="11"/>
      <c r="R153" s="5" t="s">
        <v>136</v>
      </c>
    </row>
    <row r="154" spans="1:18" s="5" customFormat="1" x14ac:dyDescent="0.25">
      <c r="A154" s="6" t="s">
        <v>111</v>
      </c>
      <c r="B154" s="7">
        <v>1294</v>
      </c>
      <c r="C154" s="8">
        <v>43677</v>
      </c>
      <c r="D154" s="7" t="s">
        <v>165</v>
      </c>
      <c r="E154" s="8">
        <v>43672</v>
      </c>
      <c r="F154" s="7">
        <v>0</v>
      </c>
      <c r="G154" s="7">
        <v>0</v>
      </c>
      <c r="H154" s="8">
        <v>43677</v>
      </c>
      <c r="I154" s="8">
        <v>43705</v>
      </c>
      <c r="J154" s="7" t="s">
        <v>18</v>
      </c>
      <c r="K154" s="9">
        <v>185570</v>
      </c>
      <c r="L154" s="9">
        <v>16870</v>
      </c>
      <c r="M154" s="9">
        <v>168700</v>
      </c>
      <c r="N154" s="7">
        <v>-28</v>
      </c>
      <c r="O154" s="10">
        <f t="shared" si="3"/>
        <v>-4723600</v>
      </c>
      <c r="P154" s="5" t="s">
        <v>19</v>
      </c>
      <c r="Q154" s="11"/>
      <c r="R154" s="5" t="s">
        <v>113</v>
      </c>
    </row>
    <row r="155" spans="1:18" s="5" customFormat="1" ht="25.5" x14ac:dyDescent="0.25">
      <c r="A155" s="6" t="s">
        <v>166</v>
      </c>
      <c r="B155" s="7">
        <v>1440</v>
      </c>
      <c r="C155" s="8">
        <v>43710</v>
      </c>
      <c r="D155" s="7" t="s">
        <v>167</v>
      </c>
      <c r="E155" s="8">
        <v>43700</v>
      </c>
      <c r="F155" s="7">
        <v>0</v>
      </c>
      <c r="G155" s="7">
        <v>0</v>
      </c>
      <c r="H155" s="8">
        <v>43710</v>
      </c>
      <c r="I155" s="8">
        <v>43738</v>
      </c>
      <c r="J155" s="7" t="s">
        <v>18</v>
      </c>
      <c r="K155" s="7">
        <v>131.72</v>
      </c>
      <c r="L155" s="7">
        <v>23.75</v>
      </c>
      <c r="M155" s="7">
        <v>107.97</v>
      </c>
      <c r="N155" s="7">
        <v>-28</v>
      </c>
      <c r="O155" s="10">
        <f t="shared" si="3"/>
        <v>-3023.16</v>
      </c>
      <c r="P155" s="5" t="s">
        <v>19</v>
      </c>
      <c r="Q155" s="11"/>
      <c r="R155" s="5" t="s">
        <v>81</v>
      </c>
    </row>
    <row r="156" spans="1:18" s="5" customFormat="1" x14ac:dyDescent="0.25">
      <c r="A156" s="6" t="s">
        <v>152</v>
      </c>
      <c r="B156" s="7">
        <v>1064</v>
      </c>
      <c r="C156" s="8">
        <v>43652</v>
      </c>
      <c r="D156" s="7" t="str">
        <f>"000115"</f>
        <v>000115</v>
      </c>
      <c r="E156" s="8">
        <v>43646</v>
      </c>
      <c r="F156" s="7">
        <v>0</v>
      </c>
      <c r="G156" s="7">
        <v>0</v>
      </c>
      <c r="H156" s="8">
        <v>43652</v>
      </c>
      <c r="I156" s="8">
        <v>43680</v>
      </c>
      <c r="J156" s="7" t="s">
        <v>18</v>
      </c>
      <c r="K156" s="7">
        <v>36.08</v>
      </c>
      <c r="L156" s="7">
        <v>6.51</v>
      </c>
      <c r="M156" s="7">
        <v>29.57</v>
      </c>
      <c r="N156" s="7">
        <v>-28</v>
      </c>
      <c r="O156" s="10">
        <f t="shared" si="3"/>
        <v>-827.96</v>
      </c>
      <c r="P156" s="5" t="s">
        <v>19</v>
      </c>
      <c r="Q156" s="11"/>
      <c r="R156" s="5" t="s">
        <v>58</v>
      </c>
    </row>
    <row r="157" spans="1:18" s="5" customFormat="1" x14ac:dyDescent="0.25">
      <c r="A157" s="6" t="s">
        <v>75</v>
      </c>
      <c r="B157" s="7">
        <v>1293</v>
      </c>
      <c r="C157" s="8">
        <v>43677</v>
      </c>
      <c r="D157" s="7" t="s">
        <v>138</v>
      </c>
      <c r="E157" s="8">
        <v>43676</v>
      </c>
      <c r="F157" s="7">
        <v>0</v>
      </c>
      <c r="G157" s="7">
        <v>0</v>
      </c>
      <c r="H157" s="8">
        <v>43677</v>
      </c>
      <c r="I157" s="8">
        <v>43706</v>
      </c>
      <c r="J157" s="7" t="s">
        <v>18</v>
      </c>
      <c r="K157" s="9">
        <v>7261.88</v>
      </c>
      <c r="L157" s="9">
        <v>1309.52</v>
      </c>
      <c r="M157" s="9">
        <v>5952.36</v>
      </c>
      <c r="N157" s="7">
        <v>-29</v>
      </c>
      <c r="O157" s="10">
        <f t="shared" si="3"/>
        <v>-172618.44</v>
      </c>
      <c r="P157" s="5" t="s">
        <v>19</v>
      </c>
      <c r="Q157" s="11"/>
      <c r="R157" s="5" t="s">
        <v>77</v>
      </c>
    </row>
    <row r="158" spans="1:18" s="5" customFormat="1" x14ac:dyDescent="0.25">
      <c r="A158" s="6" t="s">
        <v>70</v>
      </c>
      <c r="B158" s="7">
        <v>1287</v>
      </c>
      <c r="C158" s="8">
        <v>43672</v>
      </c>
      <c r="D158" s="7" t="s">
        <v>168</v>
      </c>
      <c r="E158" s="8">
        <v>43654</v>
      </c>
      <c r="F158" s="7">
        <v>0</v>
      </c>
      <c r="G158" s="7">
        <v>0</v>
      </c>
      <c r="H158" s="8">
        <v>43672</v>
      </c>
      <c r="I158" s="8">
        <v>43708</v>
      </c>
      <c r="J158" s="7" t="s">
        <v>18</v>
      </c>
      <c r="K158" s="7">
        <v>763.02</v>
      </c>
      <c r="L158" s="7">
        <v>16.47</v>
      </c>
      <c r="M158" s="7">
        <v>746.55</v>
      </c>
      <c r="N158" s="7">
        <v>-36</v>
      </c>
      <c r="O158" s="10">
        <f t="shared" si="3"/>
        <v>-26875.8</v>
      </c>
      <c r="P158" s="5" t="s">
        <v>19</v>
      </c>
      <c r="Q158" s="11"/>
      <c r="R158" s="5" t="s">
        <v>68</v>
      </c>
    </row>
    <row r="159" spans="1:18" s="5" customFormat="1" x14ac:dyDescent="0.25">
      <c r="A159" s="6" t="s">
        <v>70</v>
      </c>
      <c r="B159" s="7">
        <v>1287</v>
      </c>
      <c r="C159" s="8">
        <v>43672</v>
      </c>
      <c r="D159" s="7" t="s">
        <v>169</v>
      </c>
      <c r="E159" s="8">
        <v>43654</v>
      </c>
      <c r="F159" s="7">
        <v>0</v>
      </c>
      <c r="G159" s="7">
        <v>0</v>
      </c>
      <c r="H159" s="8">
        <v>43672</v>
      </c>
      <c r="I159" s="8">
        <v>43708</v>
      </c>
      <c r="J159" s="7" t="s">
        <v>18</v>
      </c>
      <c r="K159" s="7">
        <v>412.7</v>
      </c>
      <c r="L159" s="7">
        <v>8.89</v>
      </c>
      <c r="M159" s="7">
        <v>403.81</v>
      </c>
      <c r="N159" s="7">
        <v>-36</v>
      </c>
      <c r="O159" s="10">
        <f t="shared" si="3"/>
        <v>-14537.16</v>
      </c>
      <c r="P159" s="5" t="s">
        <v>19</v>
      </c>
      <c r="Q159" s="11"/>
      <c r="R159" s="5" t="s">
        <v>68</v>
      </c>
    </row>
    <row r="160" spans="1:18" s="5" customFormat="1" x14ac:dyDescent="0.25">
      <c r="A160" s="6" t="s">
        <v>70</v>
      </c>
      <c r="B160" s="7">
        <v>1287</v>
      </c>
      <c r="C160" s="8">
        <v>43672</v>
      </c>
      <c r="D160" s="7" t="s">
        <v>170</v>
      </c>
      <c r="E160" s="8">
        <v>43654</v>
      </c>
      <c r="F160" s="7">
        <v>0</v>
      </c>
      <c r="G160" s="7">
        <v>0</v>
      </c>
      <c r="H160" s="8">
        <v>43672</v>
      </c>
      <c r="I160" s="8">
        <v>43708</v>
      </c>
      <c r="J160" s="7" t="s">
        <v>18</v>
      </c>
      <c r="K160" s="7">
        <v>538.84</v>
      </c>
      <c r="L160" s="7">
        <v>11.62</v>
      </c>
      <c r="M160" s="7">
        <v>527.22</v>
      </c>
      <c r="N160" s="7">
        <v>-36</v>
      </c>
      <c r="O160" s="10">
        <f t="shared" si="3"/>
        <v>-18979.920000000002</v>
      </c>
      <c r="P160" s="5" t="s">
        <v>19</v>
      </c>
      <c r="Q160" s="11"/>
      <c r="R160" s="5" t="s">
        <v>68</v>
      </c>
    </row>
    <row r="161" spans="1:18" s="5" customFormat="1" x14ac:dyDescent="0.25">
      <c r="A161" s="6" t="s">
        <v>171</v>
      </c>
      <c r="B161" s="7">
        <v>1290</v>
      </c>
      <c r="C161" s="8">
        <v>43672</v>
      </c>
      <c r="D161" s="19" t="s">
        <v>208</v>
      </c>
      <c r="E161" s="8">
        <v>43665</v>
      </c>
      <c r="F161" s="7">
        <v>0</v>
      </c>
      <c r="G161" s="7">
        <v>0</v>
      </c>
      <c r="H161" s="8">
        <v>43672</v>
      </c>
      <c r="I161" s="8">
        <v>43708</v>
      </c>
      <c r="J161" s="7" t="s">
        <v>18</v>
      </c>
      <c r="K161" s="9">
        <v>2914</v>
      </c>
      <c r="L161" s="7">
        <v>0</v>
      </c>
      <c r="M161" s="9">
        <v>2914</v>
      </c>
      <c r="N161" s="7">
        <v>-36</v>
      </c>
      <c r="O161" s="10">
        <f t="shared" si="3"/>
        <v>-104904</v>
      </c>
      <c r="P161" s="5" t="s">
        <v>19</v>
      </c>
      <c r="Q161" s="11"/>
      <c r="R161" s="5" t="s">
        <v>172</v>
      </c>
    </row>
    <row r="162" spans="1:18" s="5" customFormat="1" ht="18" customHeight="1" x14ac:dyDescent="0.25">
      <c r="A162" s="6" t="s">
        <v>166</v>
      </c>
      <c r="B162" s="7">
        <v>1291</v>
      </c>
      <c r="C162" s="8">
        <v>43672</v>
      </c>
      <c r="D162" s="7" t="s">
        <v>173</v>
      </c>
      <c r="E162" s="8">
        <v>43668</v>
      </c>
      <c r="F162" s="7">
        <v>0</v>
      </c>
      <c r="G162" s="7">
        <v>0</v>
      </c>
      <c r="H162" s="8">
        <v>43672</v>
      </c>
      <c r="I162" s="8">
        <v>43708</v>
      </c>
      <c r="J162" s="7" t="s">
        <v>18</v>
      </c>
      <c r="K162" s="7">
        <v>175.64</v>
      </c>
      <c r="L162" s="7">
        <v>31.67</v>
      </c>
      <c r="M162" s="7">
        <v>143.97</v>
      </c>
      <c r="N162" s="7">
        <v>-36</v>
      </c>
      <c r="O162" s="10">
        <f t="shared" si="3"/>
        <v>-5182.92</v>
      </c>
      <c r="P162" s="5" t="s">
        <v>19</v>
      </c>
      <c r="Q162" s="11"/>
      <c r="R162" s="5" t="s">
        <v>81</v>
      </c>
    </row>
    <row r="163" spans="1:18" s="5" customFormat="1" ht="25.5" x14ac:dyDescent="0.25">
      <c r="A163" s="6" t="s">
        <v>174</v>
      </c>
      <c r="B163" s="7">
        <v>1292</v>
      </c>
      <c r="C163" s="8">
        <v>43672</v>
      </c>
      <c r="D163" s="7" t="s">
        <v>175</v>
      </c>
      <c r="E163" s="8">
        <v>43669</v>
      </c>
      <c r="F163" s="7">
        <v>0</v>
      </c>
      <c r="G163" s="7">
        <v>0</v>
      </c>
      <c r="H163" s="8">
        <v>43672</v>
      </c>
      <c r="I163" s="8">
        <v>43708</v>
      </c>
      <c r="J163" s="7" t="s">
        <v>18</v>
      </c>
      <c r="K163" s="9">
        <v>6301.3</v>
      </c>
      <c r="L163" s="9">
        <v>1136.3</v>
      </c>
      <c r="M163" s="9">
        <v>5165</v>
      </c>
      <c r="N163" s="7">
        <v>-36</v>
      </c>
      <c r="O163" s="10">
        <f t="shared" si="3"/>
        <v>-185940</v>
      </c>
      <c r="P163" s="5" t="s">
        <v>19</v>
      </c>
      <c r="Q163" s="11"/>
      <c r="R163" s="5" t="s">
        <v>176</v>
      </c>
    </row>
    <row r="164" spans="1:18" s="5" customFormat="1" ht="25.5" x14ac:dyDescent="0.25">
      <c r="A164" s="6" t="s">
        <v>177</v>
      </c>
      <c r="B164" s="7">
        <v>1280</v>
      </c>
      <c r="C164" s="8">
        <v>43669</v>
      </c>
      <c r="D164" s="7" t="s">
        <v>178</v>
      </c>
      <c r="E164" s="8">
        <v>43645</v>
      </c>
      <c r="F164" s="7">
        <v>0</v>
      </c>
      <c r="G164" s="7">
        <v>0</v>
      </c>
      <c r="H164" s="8">
        <v>43669</v>
      </c>
      <c r="I164" s="8">
        <v>43706</v>
      </c>
      <c r="J164" s="7" t="s">
        <v>18</v>
      </c>
      <c r="K164" s="9">
        <v>8423.52</v>
      </c>
      <c r="L164" s="7">
        <v>401.12</v>
      </c>
      <c r="M164" s="9">
        <v>8022.4</v>
      </c>
      <c r="N164" s="7">
        <v>-37</v>
      </c>
      <c r="O164" s="10">
        <f t="shared" si="3"/>
        <v>-296828.79999999999</v>
      </c>
      <c r="P164" s="5" t="s">
        <v>19</v>
      </c>
      <c r="Q164" s="11"/>
      <c r="R164" s="5" t="s">
        <v>179</v>
      </c>
    </row>
    <row r="165" spans="1:18" s="5" customFormat="1" x14ac:dyDescent="0.25">
      <c r="A165" s="6" t="s">
        <v>180</v>
      </c>
      <c r="B165" s="7">
        <v>1277</v>
      </c>
      <c r="C165" s="8">
        <v>43669</v>
      </c>
      <c r="D165" s="7" t="s">
        <v>181</v>
      </c>
      <c r="E165" s="8">
        <v>43646</v>
      </c>
      <c r="F165" s="7">
        <v>0</v>
      </c>
      <c r="G165" s="7">
        <v>0</v>
      </c>
      <c r="H165" s="8">
        <v>43669</v>
      </c>
      <c r="I165" s="8">
        <v>43708</v>
      </c>
      <c r="J165" s="7" t="s">
        <v>18</v>
      </c>
      <c r="K165" s="9">
        <v>4619.49</v>
      </c>
      <c r="L165" s="7">
        <v>419.95</v>
      </c>
      <c r="M165" s="9">
        <v>4199.54</v>
      </c>
      <c r="N165" s="7">
        <v>-39</v>
      </c>
      <c r="O165" s="10">
        <f t="shared" si="3"/>
        <v>-163782.06</v>
      </c>
      <c r="P165" s="5" t="s">
        <v>19</v>
      </c>
      <c r="Q165" s="11"/>
      <c r="R165" s="5" t="s">
        <v>182</v>
      </c>
    </row>
    <row r="166" spans="1:18" s="5" customFormat="1" x14ac:dyDescent="0.25">
      <c r="A166" s="6" t="s">
        <v>43</v>
      </c>
      <c r="B166" s="7">
        <v>1073</v>
      </c>
      <c r="C166" s="8">
        <v>43652</v>
      </c>
      <c r="D166" s="7" t="str">
        <f>"6400025109"</f>
        <v>6400025109</v>
      </c>
      <c r="E166" s="8">
        <v>43616</v>
      </c>
      <c r="F166" s="7">
        <v>0</v>
      </c>
      <c r="G166" s="7">
        <v>0</v>
      </c>
      <c r="H166" s="8">
        <v>43652</v>
      </c>
      <c r="I166" s="8">
        <v>43691</v>
      </c>
      <c r="J166" s="7" t="s">
        <v>18</v>
      </c>
      <c r="K166" s="9">
        <v>15862.08</v>
      </c>
      <c r="L166" s="7">
        <v>610.08000000000004</v>
      </c>
      <c r="M166" s="9">
        <v>15252</v>
      </c>
      <c r="N166" s="7">
        <v>-39</v>
      </c>
      <c r="O166" s="10">
        <f t="shared" si="3"/>
        <v>-594828</v>
      </c>
      <c r="P166" s="5" t="s">
        <v>19</v>
      </c>
      <c r="Q166" s="11"/>
      <c r="R166" s="5" t="s">
        <v>44</v>
      </c>
    </row>
    <row r="167" spans="1:18" s="5" customFormat="1" ht="25.5" x14ac:dyDescent="0.25">
      <c r="A167" s="6" t="s">
        <v>174</v>
      </c>
      <c r="B167" s="7">
        <v>1279</v>
      </c>
      <c r="C167" s="8">
        <v>43669</v>
      </c>
      <c r="D167" s="7" t="s">
        <v>183</v>
      </c>
      <c r="E167" s="8">
        <v>43665</v>
      </c>
      <c r="F167" s="7">
        <v>0</v>
      </c>
      <c r="G167" s="7">
        <v>0</v>
      </c>
      <c r="H167" s="8">
        <v>43669</v>
      </c>
      <c r="I167" s="8">
        <v>43708</v>
      </c>
      <c r="J167" s="7" t="s">
        <v>18</v>
      </c>
      <c r="K167" s="7">
        <v>228.38</v>
      </c>
      <c r="L167" s="7">
        <v>41.18</v>
      </c>
      <c r="M167" s="7">
        <v>187.2</v>
      </c>
      <c r="N167" s="7">
        <v>-39</v>
      </c>
      <c r="O167" s="10">
        <f t="shared" si="3"/>
        <v>-7300.7999999999993</v>
      </c>
      <c r="P167" s="5" t="s">
        <v>19</v>
      </c>
      <c r="Q167" s="11"/>
      <c r="R167" s="5" t="s">
        <v>176</v>
      </c>
    </row>
    <row r="168" spans="1:18" s="5" customFormat="1" x14ac:dyDescent="0.25">
      <c r="A168" s="6" t="s">
        <v>111</v>
      </c>
      <c r="B168" s="7">
        <v>1285</v>
      </c>
      <c r="C168" s="8">
        <v>43672</v>
      </c>
      <c r="D168" s="7" t="s">
        <v>184</v>
      </c>
      <c r="E168" s="8">
        <v>43654</v>
      </c>
      <c r="F168" s="7">
        <v>0</v>
      </c>
      <c r="G168" s="7">
        <v>0</v>
      </c>
      <c r="H168" s="8">
        <v>43672</v>
      </c>
      <c r="I168" s="8">
        <v>43716</v>
      </c>
      <c r="J168" s="7" t="s">
        <v>18</v>
      </c>
      <c r="K168" s="9">
        <v>24100</v>
      </c>
      <c r="L168" s="9">
        <v>2190.91</v>
      </c>
      <c r="M168" s="9">
        <v>21909.09</v>
      </c>
      <c r="N168" s="7">
        <v>-44</v>
      </c>
      <c r="O168" s="10">
        <f t="shared" si="3"/>
        <v>-963999.96</v>
      </c>
      <c r="P168" s="5" t="s">
        <v>19</v>
      </c>
      <c r="Q168" s="11"/>
      <c r="R168" s="5" t="s">
        <v>113</v>
      </c>
    </row>
    <row r="169" spans="1:18" s="5" customFormat="1" x14ac:dyDescent="0.25">
      <c r="A169" s="6" t="s">
        <v>111</v>
      </c>
      <c r="B169" s="7">
        <v>1286</v>
      </c>
      <c r="C169" s="8">
        <v>43672</v>
      </c>
      <c r="D169" s="7" t="s">
        <v>184</v>
      </c>
      <c r="E169" s="8">
        <v>43654</v>
      </c>
      <c r="F169" s="7">
        <v>0</v>
      </c>
      <c r="G169" s="7">
        <v>0</v>
      </c>
      <c r="H169" s="8">
        <v>43672</v>
      </c>
      <c r="I169" s="8">
        <v>43716</v>
      </c>
      <c r="J169" s="7" t="s">
        <v>18</v>
      </c>
      <c r="K169" s="9">
        <v>5769.7</v>
      </c>
      <c r="L169" s="7">
        <v>524.52</v>
      </c>
      <c r="M169" s="9">
        <v>5245.18</v>
      </c>
      <c r="N169" s="7">
        <v>-44</v>
      </c>
      <c r="O169" s="10">
        <f t="shared" si="3"/>
        <v>-230787.92</v>
      </c>
      <c r="P169" s="5" t="s">
        <v>19</v>
      </c>
      <c r="Q169" s="11"/>
      <c r="R169" s="5" t="s">
        <v>113</v>
      </c>
    </row>
    <row r="170" spans="1:18" s="5" customFormat="1" x14ac:dyDescent="0.25">
      <c r="A170" s="6" t="s">
        <v>117</v>
      </c>
      <c r="B170" s="7">
        <v>1462</v>
      </c>
      <c r="C170" s="8">
        <v>43722</v>
      </c>
      <c r="D170" s="7" t="str">
        <f>"0002138122"</f>
        <v>0002138122</v>
      </c>
      <c r="E170" s="8">
        <v>43708</v>
      </c>
      <c r="F170" s="7">
        <v>0</v>
      </c>
      <c r="G170" s="7">
        <v>0</v>
      </c>
      <c r="H170" s="8">
        <v>43724</v>
      </c>
      <c r="I170" s="8">
        <v>43769</v>
      </c>
      <c r="J170" s="7" t="s">
        <v>18</v>
      </c>
      <c r="K170" s="7">
        <v>373.32</v>
      </c>
      <c r="L170" s="7">
        <v>67.319999999999993</v>
      </c>
      <c r="M170" s="7">
        <v>306</v>
      </c>
      <c r="N170" s="7">
        <v>-45</v>
      </c>
      <c r="O170" s="10">
        <f t="shared" si="3"/>
        <v>-13770</v>
      </c>
      <c r="P170" s="5" t="s">
        <v>19</v>
      </c>
      <c r="Q170" s="11"/>
      <c r="R170" s="5" t="s">
        <v>118</v>
      </c>
    </row>
    <row r="171" spans="1:18" s="5" customFormat="1" x14ac:dyDescent="0.25">
      <c r="A171" s="6" t="s">
        <v>185</v>
      </c>
      <c r="B171" s="7">
        <v>1391</v>
      </c>
      <c r="C171" s="8">
        <v>43689</v>
      </c>
      <c r="D171" s="7" t="s">
        <v>186</v>
      </c>
      <c r="E171" s="8">
        <v>43684</v>
      </c>
      <c r="F171" s="7">
        <v>0</v>
      </c>
      <c r="G171" s="7">
        <v>0</v>
      </c>
      <c r="H171" s="8">
        <v>43690</v>
      </c>
      <c r="I171" s="8">
        <v>43738</v>
      </c>
      <c r="J171" s="7" t="s">
        <v>18</v>
      </c>
      <c r="K171" s="7">
        <v>610</v>
      </c>
      <c r="L171" s="7">
        <v>110</v>
      </c>
      <c r="M171" s="7">
        <v>500</v>
      </c>
      <c r="N171" s="7">
        <v>-48</v>
      </c>
      <c r="O171" s="10">
        <f t="shared" si="3"/>
        <v>-24000</v>
      </c>
      <c r="P171" s="5" t="s">
        <v>19</v>
      </c>
      <c r="Q171" s="11"/>
      <c r="R171" s="5" t="s">
        <v>157</v>
      </c>
    </row>
    <row r="172" spans="1:18" s="5" customFormat="1" ht="25.5" x14ac:dyDescent="0.25">
      <c r="A172" s="6" t="s">
        <v>177</v>
      </c>
      <c r="B172" s="7">
        <v>1403</v>
      </c>
      <c r="C172" s="8">
        <v>43690</v>
      </c>
      <c r="D172" s="7" t="s">
        <v>187</v>
      </c>
      <c r="E172" s="8">
        <v>43677</v>
      </c>
      <c r="F172" s="7">
        <v>0</v>
      </c>
      <c r="G172" s="7">
        <v>0</v>
      </c>
      <c r="H172" s="8">
        <v>43690</v>
      </c>
      <c r="I172" s="8">
        <v>43738</v>
      </c>
      <c r="J172" s="7" t="s">
        <v>18</v>
      </c>
      <c r="K172" s="9">
        <v>7750.05</v>
      </c>
      <c r="L172" s="7">
        <v>369.05</v>
      </c>
      <c r="M172" s="9">
        <v>7381</v>
      </c>
      <c r="N172" s="7">
        <v>-48</v>
      </c>
      <c r="O172" s="10">
        <f t="shared" si="3"/>
        <v>-354288</v>
      </c>
      <c r="P172" s="5" t="s">
        <v>19</v>
      </c>
      <c r="Q172" s="11"/>
      <c r="R172" s="5" t="s">
        <v>179</v>
      </c>
    </row>
    <row r="173" spans="1:18" s="5" customFormat="1" ht="25.5" x14ac:dyDescent="0.25">
      <c r="A173" s="6" t="s">
        <v>128</v>
      </c>
      <c r="B173" s="7">
        <v>1167</v>
      </c>
      <c r="C173" s="8">
        <v>43664</v>
      </c>
      <c r="D173" s="7" t="s">
        <v>188</v>
      </c>
      <c r="E173" s="8">
        <v>43651</v>
      </c>
      <c r="F173" s="7">
        <v>0</v>
      </c>
      <c r="G173" s="7">
        <v>0</v>
      </c>
      <c r="H173" s="8">
        <v>43664</v>
      </c>
      <c r="I173" s="8">
        <v>43713</v>
      </c>
      <c r="J173" s="7" t="s">
        <v>18</v>
      </c>
      <c r="K173" s="7">
        <v>943.5</v>
      </c>
      <c r="L173" s="7">
        <v>0</v>
      </c>
      <c r="M173" s="7">
        <v>943.5</v>
      </c>
      <c r="N173" s="7">
        <v>-49</v>
      </c>
      <c r="O173" s="10">
        <f t="shared" si="3"/>
        <v>-46231.5</v>
      </c>
      <c r="P173" s="5" t="s">
        <v>19</v>
      </c>
      <c r="Q173" s="11"/>
      <c r="R173" s="5" t="s">
        <v>130</v>
      </c>
    </row>
    <row r="174" spans="1:18" s="5" customFormat="1" x14ac:dyDescent="0.25">
      <c r="A174" s="6" t="s">
        <v>43</v>
      </c>
      <c r="B174" s="7">
        <v>1283</v>
      </c>
      <c r="C174" s="8">
        <v>43672</v>
      </c>
      <c r="D174" s="7" t="str">
        <f>"6400031132"</f>
        <v>6400031132</v>
      </c>
      <c r="E174" s="8">
        <v>43646</v>
      </c>
      <c r="F174" s="7">
        <v>0</v>
      </c>
      <c r="G174" s="7">
        <v>0</v>
      </c>
      <c r="H174" s="8">
        <v>43672</v>
      </c>
      <c r="I174" s="8">
        <v>43721</v>
      </c>
      <c r="J174" s="7" t="s">
        <v>18</v>
      </c>
      <c r="K174" s="9">
        <v>7204.45</v>
      </c>
      <c r="L174" s="7">
        <v>277.08999999999997</v>
      </c>
      <c r="M174" s="9">
        <v>6927.36</v>
      </c>
      <c r="N174" s="7">
        <v>-49</v>
      </c>
      <c r="O174" s="10">
        <f t="shared" si="3"/>
        <v>-339440.63999999996</v>
      </c>
      <c r="P174" s="5" t="s">
        <v>19</v>
      </c>
      <c r="Q174" s="11"/>
      <c r="R174" s="5" t="s">
        <v>44</v>
      </c>
    </row>
    <row r="175" spans="1:18" s="5" customFormat="1" x14ac:dyDescent="0.25">
      <c r="A175" s="6" t="s">
        <v>189</v>
      </c>
      <c r="B175" s="7">
        <v>1091</v>
      </c>
      <c r="C175" s="8">
        <v>43658</v>
      </c>
      <c r="D175" s="7" t="s">
        <v>190</v>
      </c>
      <c r="E175" s="8">
        <v>43623</v>
      </c>
      <c r="F175" s="7">
        <v>0</v>
      </c>
      <c r="G175" s="7">
        <v>0</v>
      </c>
      <c r="H175" s="8">
        <v>43658</v>
      </c>
      <c r="I175" s="8">
        <v>43708</v>
      </c>
      <c r="J175" s="7" t="s">
        <v>18</v>
      </c>
      <c r="K175" s="9">
        <v>2074</v>
      </c>
      <c r="L175" s="7">
        <v>374</v>
      </c>
      <c r="M175" s="9">
        <v>1700</v>
      </c>
      <c r="N175" s="7">
        <v>-50</v>
      </c>
      <c r="O175" s="10">
        <f t="shared" si="3"/>
        <v>-85000</v>
      </c>
      <c r="P175" s="5" t="s">
        <v>19</v>
      </c>
      <c r="Q175" s="11"/>
      <c r="R175" s="5" t="s">
        <v>118</v>
      </c>
    </row>
    <row r="176" spans="1:18" s="5" customFormat="1" ht="25.5" x14ac:dyDescent="0.25">
      <c r="A176" s="6" t="s">
        <v>191</v>
      </c>
      <c r="B176" s="7">
        <v>1110</v>
      </c>
      <c r="C176" s="8">
        <v>43658</v>
      </c>
      <c r="D176" s="7" t="str">
        <f>"137"</f>
        <v>137</v>
      </c>
      <c r="E176" s="8">
        <v>43649</v>
      </c>
      <c r="F176" s="7">
        <v>0</v>
      </c>
      <c r="G176" s="7">
        <v>0</v>
      </c>
      <c r="H176" s="8">
        <v>43658</v>
      </c>
      <c r="I176" s="8">
        <v>43708</v>
      </c>
      <c r="J176" s="7" t="s">
        <v>18</v>
      </c>
      <c r="K176" s="7">
        <v>843.49</v>
      </c>
      <c r="L176" s="7">
        <v>146.06</v>
      </c>
      <c r="M176" s="7">
        <v>697.43</v>
      </c>
      <c r="N176" s="7">
        <v>-50</v>
      </c>
      <c r="O176" s="10">
        <f t="shared" si="3"/>
        <v>-34871.5</v>
      </c>
      <c r="P176" s="5" t="s">
        <v>19</v>
      </c>
      <c r="Q176" s="11"/>
      <c r="R176" s="5" t="s">
        <v>192</v>
      </c>
    </row>
    <row r="177" spans="1:18" s="5" customFormat="1" x14ac:dyDescent="0.25">
      <c r="A177" s="6" t="s">
        <v>43</v>
      </c>
      <c r="B177" s="7">
        <v>1278</v>
      </c>
      <c r="C177" s="8">
        <v>43669</v>
      </c>
      <c r="D177" s="7" t="str">
        <f>"6400031133"</f>
        <v>6400031133</v>
      </c>
      <c r="E177" s="8">
        <v>43646</v>
      </c>
      <c r="F177" s="7">
        <v>0</v>
      </c>
      <c r="G177" s="7">
        <v>0</v>
      </c>
      <c r="H177" s="8">
        <v>43669</v>
      </c>
      <c r="I177" s="8">
        <v>43721</v>
      </c>
      <c r="J177" s="7" t="s">
        <v>18</v>
      </c>
      <c r="K177" s="9">
        <v>1040.42</v>
      </c>
      <c r="L177" s="7">
        <v>40.020000000000003</v>
      </c>
      <c r="M177" s="9">
        <v>1000.4</v>
      </c>
      <c r="N177" s="7">
        <v>-52</v>
      </c>
      <c r="O177" s="10">
        <f t="shared" si="3"/>
        <v>-52020.799999999996</v>
      </c>
      <c r="P177" s="5" t="s">
        <v>19</v>
      </c>
      <c r="Q177" s="11"/>
      <c r="R177" s="5" t="s">
        <v>44</v>
      </c>
    </row>
    <row r="178" spans="1:18" s="5" customFormat="1" x14ac:dyDescent="0.25">
      <c r="A178" s="6" t="s">
        <v>48</v>
      </c>
      <c r="B178" s="7">
        <v>1099</v>
      </c>
      <c r="C178" s="8">
        <v>43658</v>
      </c>
      <c r="D178" s="7" t="s">
        <v>193</v>
      </c>
      <c r="E178" s="8">
        <v>43646</v>
      </c>
      <c r="F178" s="7">
        <v>0</v>
      </c>
      <c r="G178" s="7">
        <v>0</v>
      </c>
      <c r="H178" s="8">
        <v>43658</v>
      </c>
      <c r="I178" s="8">
        <v>43713</v>
      </c>
      <c r="J178" s="7" t="s">
        <v>18</v>
      </c>
      <c r="K178" s="7">
        <v>658.75</v>
      </c>
      <c r="L178" s="7">
        <v>0</v>
      </c>
      <c r="M178" s="7">
        <v>658.75</v>
      </c>
      <c r="N178" s="7">
        <v>-55</v>
      </c>
      <c r="O178" s="10">
        <f t="shared" si="3"/>
        <v>-36231.25</v>
      </c>
      <c r="P178" s="5" t="s">
        <v>19</v>
      </c>
      <c r="Q178" s="11"/>
      <c r="R178" s="5" t="s">
        <v>50</v>
      </c>
    </row>
    <row r="179" spans="1:18" s="5" customFormat="1" x14ac:dyDescent="0.25">
      <c r="A179" s="6" t="s">
        <v>48</v>
      </c>
      <c r="B179" s="7">
        <v>1390</v>
      </c>
      <c r="C179" s="8">
        <v>43689</v>
      </c>
      <c r="D179" s="7" t="s">
        <v>194</v>
      </c>
      <c r="E179" s="8">
        <v>43677</v>
      </c>
      <c r="F179" s="7">
        <v>0</v>
      </c>
      <c r="G179" s="7">
        <v>0</v>
      </c>
      <c r="H179" s="8">
        <v>43690</v>
      </c>
      <c r="I179" s="8">
        <v>43745</v>
      </c>
      <c r="J179" s="7" t="s">
        <v>18</v>
      </c>
      <c r="K179" s="7">
        <v>658.75</v>
      </c>
      <c r="L179" s="7">
        <v>0</v>
      </c>
      <c r="M179" s="7">
        <v>658.75</v>
      </c>
      <c r="N179" s="7">
        <v>-55</v>
      </c>
      <c r="O179" s="10">
        <f t="shared" si="3"/>
        <v>-36231.25</v>
      </c>
      <c r="P179" s="5" t="s">
        <v>19</v>
      </c>
      <c r="Q179" s="11"/>
      <c r="R179" s="5" t="s">
        <v>50</v>
      </c>
    </row>
    <row r="180" spans="1:18" s="5" customFormat="1" x14ac:dyDescent="0.25">
      <c r="A180" s="6" t="s">
        <v>48</v>
      </c>
      <c r="B180" s="7">
        <v>1449</v>
      </c>
      <c r="C180" s="8">
        <v>43718</v>
      </c>
      <c r="D180" s="7" t="s">
        <v>195</v>
      </c>
      <c r="E180" s="8">
        <v>43708</v>
      </c>
      <c r="F180" s="7">
        <v>0</v>
      </c>
      <c r="G180" s="7">
        <v>0</v>
      </c>
      <c r="H180" s="8">
        <v>43718</v>
      </c>
      <c r="I180" s="8">
        <v>43774</v>
      </c>
      <c r="J180" s="7" t="s">
        <v>18</v>
      </c>
      <c r="K180" s="7">
        <v>806.75</v>
      </c>
      <c r="L180" s="7">
        <v>0</v>
      </c>
      <c r="M180" s="7">
        <v>806.75</v>
      </c>
      <c r="N180" s="7">
        <v>-56</v>
      </c>
      <c r="O180" s="10">
        <f t="shared" si="3"/>
        <v>-45178</v>
      </c>
      <c r="P180" s="5" t="s">
        <v>19</v>
      </c>
      <c r="Q180" s="11"/>
      <c r="R180" s="5" t="s">
        <v>50</v>
      </c>
    </row>
    <row r="181" spans="1:18" s="5" customFormat="1" x14ac:dyDescent="0.25">
      <c r="A181" s="6" t="s">
        <v>48</v>
      </c>
      <c r="B181" s="7">
        <v>1448</v>
      </c>
      <c r="C181" s="8">
        <v>43718</v>
      </c>
      <c r="D181" s="7" t="s">
        <v>196</v>
      </c>
      <c r="E181" s="8">
        <v>43708</v>
      </c>
      <c r="F181" s="7">
        <v>0</v>
      </c>
      <c r="G181" s="7">
        <v>0</v>
      </c>
      <c r="H181" s="8">
        <v>43718</v>
      </c>
      <c r="I181" s="8">
        <v>43774</v>
      </c>
      <c r="J181" s="7" t="s">
        <v>18</v>
      </c>
      <c r="K181" s="9">
        <v>1400</v>
      </c>
      <c r="L181" s="7">
        <v>0</v>
      </c>
      <c r="M181" s="9">
        <v>1400</v>
      </c>
      <c r="N181" s="7">
        <v>-56</v>
      </c>
      <c r="O181" s="10">
        <f t="shared" si="3"/>
        <v>-78400</v>
      </c>
      <c r="P181" s="5" t="s">
        <v>19</v>
      </c>
      <c r="Q181" s="11"/>
      <c r="R181" s="5" t="s">
        <v>50</v>
      </c>
    </row>
    <row r="182" spans="1:18" s="5" customFormat="1" x14ac:dyDescent="0.25">
      <c r="A182" s="6" t="s">
        <v>197</v>
      </c>
      <c r="B182" s="7">
        <v>1442</v>
      </c>
      <c r="C182" s="8">
        <v>43712</v>
      </c>
      <c r="D182" s="13" t="s">
        <v>198</v>
      </c>
      <c r="E182" s="8">
        <v>43683</v>
      </c>
      <c r="F182" s="7">
        <v>0</v>
      </c>
      <c r="G182" s="7">
        <v>0</v>
      </c>
      <c r="H182" s="8">
        <v>43712</v>
      </c>
      <c r="I182" s="8">
        <v>43769</v>
      </c>
      <c r="J182" s="7" t="s">
        <v>18</v>
      </c>
      <c r="K182" s="7">
        <v>75.77</v>
      </c>
      <c r="L182" s="7">
        <v>13.66</v>
      </c>
      <c r="M182" s="7">
        <v>62.11</v>
      </c>
      <c r="N182" s="7">
        <v>-57</v>
      </c>
      <c r="O182" s="10">
        <f t="shared" si="3"/>
        <v>-3540.27</v>
      </c>
      <c r="P182" s="5" t="s">
        <v>19</v>
      </c>
      <c r="Q182" s="11"/>
      <c r="R182" s="5" t="s">
        <v>139</v>
      </c>
    </row>
    <row r="183" spans="1:18" s="5" customFormat="1" x14ac:dyDescent="0.25">
      <c r="A183" s="6" t="s">
        <v>48</v>
      </c>
      <c r="B183" s="7">
        <v>1098</v>
      </c>
      <c r="C183" s="8">
        <v>43658</v>
      </c>
      <c r="D183" s="7" t="s">
        <v>199</v>
      </c>
      <c r="E183" s="8">
        <v>43646</v>
      </c>
      <c r="F183" s="7">
        <v>0</v>
      </c>
      <c r="G183" s="7">
        <v>0</v>
      </c>
      <c r="H183" s="8">
        <v>43658</v>
      </c>
      <c r="I183" s="8">
        <v>43717</v>
      </c>
      <c r="J183" s="7" t="s">
        <v>18</v>
      </c>
      <c r="K183" s="9">
        <v>1355</v>
      </c>
      <c r="L183" s="7">
        <v>0</v>
      </c>
      <c r="M183" s="9">
        <v>1355</v>
      </c>
      <c r="N183" s="7">
        <v>-59</v>
      </c>
      <c r="O183" s="10">
        <f t="shared" si="3"/>
        <v>-79945</v>
      </c>
      <c r="P183" s="5" t="s">
        <v>19</v>
      </c>
      <c r="Q183" s="11"/>
      <c r="R183" s="5" t="s">
        <v>50</v>
      </c>
    </row>
    <row r="184" spans="1:18" s="5" customFormat="1" x14ac:dyDescent="0.25">
      <c r="A184" s="6" t="s">
        <v>43</v>
      </c>
      <c r="B184" s="7">
        <v>1402</v>
      </c>
      <c r="C184" s="8">
        <v>43690</v>
      </c>
      <c r="D184" s="7" t="str">
        <f>"6400036603"</f>
        <v>6400036603</v>
      </c>
      <c r="E184" s="8">
        <v>43677</v>
      </c>
      <c r="F184" s="7">
        <v>0</v>
      </c>
      <c r="G184" s="7">
        <v>0</v>
      </c>
      <c r="H184" s="8">
        <v>43690</v>
      </c>
      <c r="I184" s="8">
        <v>43752</v>
      </c>
      <c r="J184" s="7" t="s">
        <v>18</v>
      </c>
      <c r="K184" s="9">
        <v>1129.1099999999999</v>
      </c>
      <c r="L184" s="7">
        <v>43.43</v>
      </c>
      <c r="M184" s="9">
        <v>1085.68</v>
      </c>
      <c r="N184" s="7">
        <v>-62</v>
      </c>
      <c r="O184" s="10">
        <f t="shared" si="3"/>
        <v>-67312.160000000003</v>
      </c>
      <c r="P184" s="5" t="s">
        <v>19</v>
      </c>
      <c r="Q184" s="11"/>
      <c r="R184" s="5" t="s">
        <v>44</v>
      </c>
    </row>
    <row r="185" spans="1:18" s="5" customFormat="1" x14ac:dyDescent="0.25">
      <c r="A185" s="6" t="s">
        <v>200</v>
      </c>
      <c r="B185" s="7">
        <v>1579</v>
      </c>
      <c r="C185" s="8">
        <v>43736</v>
      </c>
      <c r="D185" s="7" t="s">
        <v>201</v>
      </c>
      <c r="E185" s="8">
        <v>43731</v>
      </c>
      <c r="F185" s="7">
        <v>0</v>
      </c>
      <c r="G185" s="7">
        <v>0</v>
      </c>
      <c r="H185" s="8">
        <v>43736</v>
      </c>
      <c r="I185" s="8">
        <v>43799</v>
      </c>
      <c r="J185" s="7" t="s">
        <v>18</v>
      </c>
      <c r="K185" s="7">
        <v>409.55</v>
      </c>
      <c r="L185" s="7">
        <v>73.849999999999994</v>
      </c>
      <c r="M185" s="7">
        <v>335.7</v>
      </c>
      <c r="N185" s="7">
        <v>-63</v>
      </c>
      <c r="O185" s="10">
        <f t="shared" si="3"/>
        <v>-21149.1</v>
      </c>
      <c r="P185" s="5" t="s">
        <v>19</v>
      </c>
      <c r="Q185" s="11"/>
      <c r="R185" s="5" t="s">
        <v>50</v>
      </c>
    </row>
    <row r="186" spans="1:18" s="5" customFormat="1" x14ac:dyDescent="0.25">
      <c r="A186" s="6" t="s">
        <v>189</v>
      </c>
      <c r="B186" s="7">
        <v>1114</v>
      </c>
      <c r="C186" s="8">
        <v>43658</v>
      </c>
      <c r="D186" s="7" t="s">
        <v>202</v>
      </c>
      <c r="E186" s="8">
        <v>43657</v>
      </c>
      <c r="F186" s="7">
        <v>0</v>
      </c>
      <c r="G186" s="7">
        <v>0</v>
      </c>
      <c r="H186" s="8">
        <v>43658</v>
      </c>
      <c r="I186" s="8">
        <v>43738</v>
      </c>
      <c r="J186" s="7" t="s">
        <v>18</v>
      </c>
      <c r="K186" s="9">
        <v>1159</v>
      </c>
      <c r="L186" s="7">
        <v>209</v>
      </c>
      <c r="M186" s="7">
        <v>950</v>
      </c>
      <c r="N186" s="7">
        <v>-80</v>
      </c>
      <c r="O186" s="10">
        <f t="shared" si="3"/>
        <v>-76000</v>
      </c>
      <c r="P186" s="5" t="s">
        <v>19</v>
      </c>
      <c r="Q186" s="11"/>
      <c r="R186" s="5" t="s">
        <v>118</v>
      </c>
    </row>
    <row r="187" spans="1:18" s="5" customFormat="1" x14ac:dyDescent="0.25">
      <c r="A187" s="6" t="s">
        <v>203</v>
      </c>
      <c r="B187" s="7">
        <v>1111</v>
      </c>
      <c r="C187" s="8">
        <v>43658</v>
      </c>
      <c r="D187" s="7" t="str">
        <f>"0054514422"</f>
        <v>0054514422</v>
      </c>
      <c r="E187" s="8">
        <v>43649</v>
      </c>
      <c r="F187" s="7">
        <v>0</v>
      </c>
      <c r="G187" s="7">
        <v>0</v>
      </c>
      <c r="H187" s="8">
        <v>43658</v>
      </c>
      <c r="I187" s="8">
        <v>43741</v>
      </c>
      <c r="J187" s="7" t="s">
        <v>18</v>
      </c>
      <c r="K187" s="9">
        <v>1216.68</v>
      </c>
      <c r="L187" s="7">
        <v>46.8</v>
      </c>
      <c r="M187" s="9">
        <v>1169.8800000000001</v>
      </c>
      <c r="N187" s="7">
        <v>-83</v>
      </c>
      <c r="O187" s="10">
        <f t="shared" si="3"/>
        <v>-97100.040000000008</v>
      </c>
      <c r="P187" s="5" t="s">
        <v>19</v>
      </c>
      <c r="Q187" s="11"/>
      <c r="R187" s="5" t="s">
        <v>151</v>
      </c>
    </row>
    <row r="188" spans="1:18" s="5" customFormat="1" ht="26.25" thickBot="1" x14ac:dyDescent="0.3">
      <c r="A188" s="14" t="s">
        <v>204</v>
      </c>
      <c r="B188" s="15">
        <v>0</v>
      </c>
      <c r="C188" s="15"/>
      <c r="D188" s="15" t="s">
        <v>205</v>
      </c>
      <c r="E188" s="15"/>
      <c r="F188" s="15">
        <v>0</v>
      </c>
      <c r="G188" s="15">
        <v>0</v>
      </c>
      <c r="H188" s="15"/>
      <c r="I188" s="15"/>
      <c r="J188" s="15"/>
      <c r="K188" s="16">
        <v>596299.97</v>
      </c>
      <c r="L188" s="16">
        <v>63191.11</v>
      </c>
      <c r="M188" s="16">
        <f>SUM(M2:M187)</f>
        <v>533108.85999999987</v>
      </c>
      <c r="N188" s="17">
        <f>+O188/M188</f>
        <v>-23.487956756149213</v>
      </c>
      <c r="O188" s="18">
        <f>SUM(O2:O187)</f>
        <v>-12521637.850000001</v>
      </c>
      <c r="R188" s="5" t="s">
        <v>206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L_RIT</vt:lpstr>
      <vt:lpstr>L_RIT!Titoli_stampa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Tomezzoli</dc:creator>
  <cp:lastModifiedBy>Nicola Tomezzoli</cp:lastModifiedBy>
  <cp:lastPrinted>2019-10-17T13:06:54Z</cp:lastPrinted>
  <dcterms:created xsi:type="dcterms:W3CDTF">2019-10-17T12:47:44Z</dcterms:created>
  <dcterms:modified xsi:type="dcterms:W3CDTF">2019-10-17T13:20:07Z</dcterms:modified>
</cp:coreProperties>
</file>